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348DC981-CB21-4CC7-AC1E-561C3DAC6997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401-A" sheetId="1" r:id="rId1"/>
    <sheet name="801-B" sheetId="3" r:id="rId2"/>
    <sheet name="401-C" sheetId="4" r:id="rId3"/>
    <sheet name="Hoja1" sheetId="8" r:id="rId4"/>
    <sheet name="IO I" sheetId="5" r:id="rId5"/>
    <sheet name="801-A" sheetId="6" r:id="rId6"/>
    <sheet name="TOPICO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" l="1"/>
  <c r="L24" i="3"/>
  <c r="L16" i="7" l="1"/>
  <c r="L12" i="7"/>
  <c r="L9" i="7"/>
  <c r="L33" i="3"/>
  <c r="L35" i="3"/>
  <c r="L46" i="3"/>
  <c r="L45" i="3"/>
  <c r="L44" i="3"/>
  <c r="L42" i="3"/>
  <c r="L40" i="3"/>
  <c r="L39" i="3"/>
  <c r="L37" i="3"/>
  <c r="L36" i="3"/>
  <c r="L30" i="3"/>
  <c r="L29" i="3"/>
  <c r="L26" i="3"/>
  <c r="L23" i="3"/>
  <c r="L22" i="3"/>
  <c r="L21" i="3"/>
  <c r="L20" i="3"/>
  <c r="L19" i="3"/>
  <c r="L16" i="3"/>
  <c r="L12" i="3"/>
  <c r="L11" i="3"/>
  <c r="L10" i="3"/>
  <c r="L9" i="3"/>
  <c r="L14" i="3"/>
  <c r="L31" i="3"/>
  <c r="L15" i="3"/>
  <c r="L27" i="3"/>
  <c r="L20" i="6"/>
  <c r="L24" i="6"/>
  <c r="L21" i="6"/>
  <c r="L19" i="6"/>
  <c r="L18" i="6"/>
  <c r="L17" i="6"/>
  <c r="L16" i="6"/>
  <c r="L15" i="6"/>
  <c r="L13" i="6"/>
  <c r="L11" i="6"/>
  <c r="L10" i="6"/>
  <c r="N19" i="5"/>
  <c r="B28" i="5"/>
  <c r="B29" i="5"/>
  <c r="K25" i="7" l="1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1" i="6"/>
  <c r="K17" i="6"/>
  <c r="K18" i="6"/>
  <c r="K19" i="6"/>
  <c r="B23" i="6"/>
  <c r="B24" i="6"/>
  <c r="B25" i="6"/>
  <c r="K24" i="6"/>
  <c r="K22" i="6"/>
  <c r="K25" i="6"/>
  <c r="K11" i="6"/>
  <c r="K20" i="6"/>
  <c r="K15" i="6"/>
  <c r="K23" i="6"/>
  <c r="K14" i="6"/>
  <c r="K13" i="6"/>
  <c r="K12" i="6"/>
  <c r="K9" i="6"/>
  <c r="K33" i="3"/>
  <c r="K16" i="6"/>
  <c r="K10" i="6"/>
  <c r="K41" i="3"/>
  <c r="K18" i="3"/>
  <c r="K17" i="3"/>
  <c r="K37" i="3"/>
  <c r="K9" i="3"/>
  <c r="K45" i="3"/>
  <c r="K36" i="3"/>
  <c r="K12" i="3"/>
  <c r="K16" i="3"/>
  <c r="K23" i="3"/>
  <c r="K14" i="3"/>
  <c r="K15" i="3"/>
  <c r="K27" i="3"/>
  <c r="P20" i="4"/>
  <c r="A20" i="4"/>
  <c r="A21" i="4"/>
  <c r="A22" i="4"/>
  <c r="A23" i="4"/>
  <c r="A24" i="4"/>
  <c r="A25" i="4"/>
  <c r="A26" i="4"/>
  <c r="A27" i="4"/>
  <c r="A28" i="4"/>
  <c r="A29" i="4"/>
  <c r="A30" i="4"/>
  <c r="A31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Q16" i="1"/>
  <c r="N13" i="5"/>
  <c r="O10" i="7" l="1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9" i="7"/>
  <c r="P18" i="3" l="1"/>
  <c r="P21" i="6"/>
  <c r="P28" i="4"/>
  <c r="P29" i="4"/>
  <c r="P30" i="4"/>
  <c r="P31" i="4"/>
  <c r="P32" i="4"/>
  <c r="N10" i="5"/>
  <c r="N11" i="5"/>
  <c r="N12" i="5"/>
  <c r="N14" i="5"/>
  <c r="N15" i="5"/>
  <c r="N16" i="5"/>
  <c r="N17" i="5"/>
  <c r="N18" i="5"/>
  <c r="N20" i="5"/>
  <c r="N21" i="5"/>
  <c r="N22" i="5"/>
  <c r="N23" i="5"/>
  <c r="N24" i="5"/>
  <c r="N25" i="5"/>
  <c r="N26" i="5"/>
  <c r="N27" i="5"/>
  <c r="N28" i="5"/>
  <c r="N29" i="5"/>
  <c r="N30" i="5"/>
  <c r="N9" i="5"/>
  <c r="J45" i="3"/>
  <c r="P45" i="3" s="1"/>
  <c r="J46" i="3"/>
  <c r="P46" i="3" s="1"/>
  <c r="J44" i="3"/>
  <c r="P44" i="3" s="1"/>
  <c r="J43" i="3"/>
  <c r="P43" i="3" s="1"/>
  <c r="J42" i="3"/>
  <c r="P42" i="3" s="1"/>
  <c r="J41" i="3"/>
  <c r="P41" i="3" s="1"/>
  <c r="J40" i="3"/>
  <c r="P40" i="3" s="1"/>
  <c r="J39" i="3"/>
  <c r="P39" i="3" s="1"/>
  <c r="J38" i="3"/>
  <c r="P38" i="3" s="1"/>
  <c r="J37" i="3"/>
  <c r="P37" i="3" s="1"/>
  <c r="J36" i="3"/>
  <c r="P36" i="3" s="1"/>
  <c r="J34" i="3"/>
  <c r="P34" i="3" s="1"/>
  <c r="J32" i="3"/>
  <c r="P32" i="3" s="1"/>
  <c r="J31" i="3"/>
  <c r="P31" i="3" s="1"/>
  <c r="J30" i="3"/>
  <c r="P30" i="3" s="1"/>
  <c r="J29" i="3"/>
  <c r="P29" i="3" s="1"/>
  <c r="J28" i="3"/>
  <c r="P28" i="3" s="1"/>
  <c r="J27" i="3"/>
  <c r="P27" i="3" s="1"/>
  <c r="J26" i="3"/>
  <c r="P26" i="3" s="1"/>
  <c r="J25" i="3"/>
  <c r="P25" i="3" s="1"/>
  <c r="J24" i="3"/>
  <c r="P24" i="3" s="1"/>
  <c r="J23" i="3"/>
  <c r="P23" i="3" s="1"/>
  <c r="J22" i="3"/>
  <c r="P22" i="3" s="1"/>
  <c r="J21" i="3"/>
  <c r="P21" i="3" s="1"/>
  <c r="J20" i="3"/>
  <c r="P20" i="3" s="1"/>
  <c r="J19" i="3"/>
  <c r="P19" i="3" s="1"/>
  <c r="J17" i="3"/>
  <c r="P17" i="3" s="1"/>
  <c r="J13" i="3"/>
  <c r="P13" i="3" s="1"/>
  <c r="J16" i="3"/>
  <c r="P16" i="3" s="1"/>
  <c r="J15" i="3"/>
  <c r="P15" i="3" s="1"/>
  <c r="J14" i="3"/>
  <c r="P14" i="3" s="1"/>
  <c r="J12" i="3"/>
  <c r="P12" i="3" s="1"/>
  <c r="J11" i="3"/>
  <c r="P11" i="3" s="1"/>
  <c r="J10" i="3"/>
  <c r="P10" i="3" s="1"/>
  <c r="J9" i="3"/>
  <c r="P9" i="3" s="1"/>
  <c r="J25" i="6"/>
  <c r="P25" i="6" s="1"/>
  <c r="J20" i="6"/>
  <c r="P20" i="6" s="1"/>
  <c r="J11" i="6"/>
  <c r="P11" i="6" s="1"/>
  <c r="J13" i="6"/>
  <c r="P13" i="6" s="1"/>
  <c r="J12" i="6"/>
  <c r="P12" i="6" s="1"/>
  <c r="J24" i="6"/>
  <c r="P24" i="6" s="1"/>
  <c r="J16" i="6"/>
  <c r="P16" i="6" s="1"/>
  <c r="J19" i="6"/>
  <c r="P19" i="6" s="1"/>
  <c r="J17" i="6"/>
  <c r="P17" i="6" s="1"/>
  <c r="J18" i="6"/>
  <c r="P18" i="6" s="1"/>
  <c r="J22" i="6"/>
  <c r="P22" i="6" s="1"/>
  <c r="J15" i="6"/>
  <c r="P15" i="6" s="1"/>
  <c r="J23" i="6"/>
  <c r="P23" i="6" s="1"/>
  <c r="J10" i="6"/>
  <c r="P10" i="6" s="1"/>
  <c r="J9" i="6"/>
  <c r="P9" i="6" s="1"/>
  <c r="L55" i="7"/>
  <c r="K55" i="7"/>
  <c r="J55" i="7"/>
  <c r="L54" i="7"/>
  <c r="L57" i="7" s="1"/>
  <c r="K54" i="7"/>
  <c r="K57" i="7" s="1"/>
  <c r="J54" i="7"/>
  <c r="J57" i="7" s="1"/>
  <c r="L53" i="7"/>
  <c r="L56" i="7" s="1"/>
  <c r="K53" i="7"/>
  <c r="K56" i="7" s="1"/>
  <c r="J53" i="7"/>
  <c r="J56" i="7" s="1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O55" i="6" l="1"/>
  <c r="N55" i="6"/>
  <c r="M55" i="6"/>
  <c r="L55" i="6"/>
  <c r="K55" i="6"/>
  <c r="J55" i="6"/>
  <c r="O54" i="6"/>
  <c r="N54" i="6"/>
  <c r="N57" i="6" s="1"/>
  <c r="M54" i="6"/>
  <c r="L54" i="6"/>
  <c r="L57" i="6" s="1"/>
  <c r="K54" i="6"/>
  <c r="K57" i="6" s="1"/>
  <c r="J54" i="6"/>
  <c r="J57" i="6" s="1"/>
  <c r="O53" i="6"/>
  <c r="O56" i="6" s="1"/>
  <c r="N53" i="6"/>
  <c r="N56" i="6" s="1"/>
  <c r="M53" i="6"/>
  <c r="M56" i="6" s="1"/>
  <c r="L53" i="6"/>
  <c r="L56" i="6" s="1"/>
  <c r="K53" i="6"/>
  <c r="K56" i="6" s="1"/>
  <c r="J53" i="6"/>
  <c r="J56" i="6" s="1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B10" i="6"/>
  <c r="B11" i="6" s="1"/>
  <c r="B12" i="6" s="1"/>
  <c r="B13" i="6" s="1"/>
  <c r="M57" i="5"/>
  <c r="L57" i="5"/>
  <c r="K57" i="5"/>
  <c r="J57" i="5"/>
  <c r="M56" i="5"/>
  <c r="M59" i="5" s="1"/>
  <c r="L56" i="5"/>
  <c r="L59" i="5" s="1"/>
  <c r="K56" i="5"/>
  <c r="K59" i="5" s="1"/>
  <c r="J56" i="5"/>
  <c r="J59" i="5" s="1"/>
  <c r="M55" i="5"/>
  <c r="M58" i="5" s="1"/>
  <c r="L55" i="5"/>
  <c r="L58" i="5" s="1"/>
  <c r="K55" i="5"/>
  <c r="K58" i="5" s="1"/>
  <c r="J55" i="5"/>
  <c r="J58" i="5" s="1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B10" i="5"/>
  <c r="B11" i="5" s="1"/>
  <c r="B12" i="5" s="1"/>
  <c r="N57" i="5"/>
  <c r="O57" i="4"/>
  <c r="N57" i="4"/>
  <c r="M57" i="4"/>
  <c r="L57" i="4"/>
  <c r="K57" i="4"/>
  <c r="J57" i="4"/>
  <c r="I57" i="4"/>
  <c r="O56" i="4"/>
  <c r="O59" i="4" s="1"/>
  <c r="N56" i="4"/>
  <c r="N59" i="4" s="1"/>
  <c r="M56" i="4"/>
  <c r="M59" i="4" s="1"/>
  <c r="L56" i="4"/>
  <c r="L59" i="4" s="1"/>
  <c r="K56" i="4"/>
  <c r="K59" i="4" s="1"/>
  <c r="J56" i="4"/>
  <c r="J59" i="4" s="1"/>
  <c r="I56" i="4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I55" i="4"/>
  <c r="I58" i="4" s="1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27" i="4"/>
  <c r="P26" i="4"/>
  <c r="P25" i="4"/>
  <c r="P24" i="4"/>
  <c r="P23" i="4"/>
  <c r="P22" i="4"/>
  <c r="P21" i="4"/>
  <c r="P19" i="4"/>
  <c r="P18" i="4"/>
  <c r="P17" i="4"/>
  <c r="P16" i="4"/>
  <c r="P15" i="4"/>
  <c r="P14" i="4"/>
  <c r="P13" i="4"/>
  <c r="P12" i="4"/>
  <c r="P11" i="4"/>
  <c r="P10" i="4"/>
  <c r="P9" i="4"/>
  <c r="O58" i="3"/>
  <c r="N58" i="3"/>
  <c r="M58" i="3"/>
  <c r="L58" i="3"/>
  <c r="K58" i="3"/>
  <c r="J58" i="3"/>
  <c r="O57" i="3"/>
  <c r="O60" i="3" s="1"/>
  <c r="N57" i="3"/>
  <c r="N60" i="3" s="1"/>
  <c r="M57" i="3"/>
  <c r="M60" i="3" s="1"/>
  <c r="L57" i="3"/>
  <c r="L60" i="3" s="1"/>
  <c r="K57" i="3"/>
  <c r="K60" i="3" s="1"/>
  <c r="J57" i="3"/>
  <c r="J60" i="3" s="1"/>
  <c r="O56" i="3"/>
  <c r="O59" i="3" s="1"/>
  <c r="N56" i="3"/>
  <c r="N59" i="3" s="1"/>
  <c r="M56" i="3"/>
  <c r="M59" i="3" s="1"/>
  <c r="L56" i="3"/>
  <c r="L59" i="3" s="1"/>
  <c r="K56" i="3"/>
  <c r="K59" i="3" s="1"/>
  <c r="J56" i="3"/>
  <c r="J59" i="3" s="1"/>
  <c r="P55" i="3"/>
  <c r="P54" i="3"/>
  <c r="P53" i="3"/>
  <c r="P52" i="3"/>
  <c r="P51" i="3"/>
  <c r="P50" i="3"/>
  <c r="P49" i="3"/>
  <c r="P48" i="3"/>
  <c r="P47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8" i="3"/>
  <c r="B26" i="6" l="1"/>
  <c r="B27" i="6" s="1"/>
  <c r="B28" i="6" s="1"/>
  <c r="B29" i="6" s="1"/>
  <c r="B30" i="6" s="1"/>
  <c r="B31" i="6" s="1"/>
  <c r="B32" i="6" s="1"/>
  <c r="B33" i="6" s="1"/>
  <c r="B34" i="6" s="1"/>
  <c r="B14" i="6"/>
  <c r="B15" i="6" s="1"/>
  <c r="B16" i="6" s="1"/>
  <c r="B17" i="6" s="1"/>
  <c r="B18" i="6" s="1"/>
  <c r="B19" i="6" s="1"/>
  <c r="B20" i="6" s="1"/>
  <c r="B21" i="6" s="1"/>
  <c r="B22" i="6" s="1"/>
  <c r="B33" i="3"/>
  <c r="B34" i="3" s="1"/>
  <c r="B48" i="3" s="1"/>
  <c r="B49" i="3" s="1"/>
  <c r="B50" i="3" s="1"/>
  <c r="B51" i="3" s="1"/>
  <c r="B52" i="3" s="1"/>
  <c r="B53" i="3" s="1"/>
  <c r="B54" i="3" s="1"/>
  <c r="B55" i="3" s="1"/>
  <c r="B13" i="5"/>
  <c r="B14" i="5" s="1"/>
  <c r="B15" i="5" s="1"/>
  <c r="B16" i="5" s="1"/>
  <c r="B17" i="5" s="1"/>
  <c r="B18" i="5" s="1"/>
  <c r="B35" i="6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7" i="4"/>
  <c r="P55" i="6"/>
  <c r="M57" i="6"/>
  <c r="O57" i="6"/>
  <c r="P53" i="6"/>
  <c r="P56" i="6" s="1"/>
  <c r="P54" i="6"/>
  <c r="P57" i="6" s="1"/>
  <c r="N55" i="5"/>
  <c r="N58" i="5" s="1"/>
  <c r="N56" i="5"/>
  <c r="N59" i="5" s="1"/>
  <c r="I59" i="4"/>
  <c r="P55" i="4"/>
  <c r="P56" i="4"/>
  <c r="P59" i="4" s="1"/>
  <c r="P56" i="3"/>
  <c r="P59" i="3" s="1"/>
  <c r="P57" i="3"/>
  <c r="P60" i="3" s="1"/>
  <c r="K57" i="1"/>
  <c r="L57" i="1"/>
  <c r="M57" i="1"/>
  <c r="N57" i="1"/>
  <c r="O57" i="1"/>
  <c r="P57" i="1"/>
  <c r="J57" i="1"/>
  <c r="Q54" i="1"/>
  <c r="K56" i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B30" i="5" l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19" i="5"/>
  <c r="B20" i="5" s="1"/>
  <c r="B21" i="5" s="1"/>
  <c r="B22" i="5" s="1"/>
  <c r="B23" i="5" s="1"/>
  <c r="B24" i="5" s="1"/>
  <c r="B25" i="5" s="1"/>
  <c r="B26" i="5" s="1"/>
  <c r="B27" i="5" s="1"/>
  <c r="P58" i="4"/>
  <c r="Q50" i="1"/>
  <c r="Q51" i="1"/>
  <c r="Q52" i="1"/>
  <c r="Q53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1" i="1"/>
  <c r="Q12" i="1"/>
  <c r="Q13" i="1"/>
  <c r="Q14" i="1"/>
  <c r="Q15" i="1"/>
  <c r="Q17" i="1"/>
  <c r="Q18" i="1"/>
  <c r="Q19" i="1"/>
  <c r="Q20" i="1"/>
  <c r="Q21" i="1"/>
  <c r="Q9" i="1"/>
  <c r="K59" i="1"/>
  <c r="L59" i="1"/>
  <c r="M59" i="1"/>
  <c r="N59" i="1"/>
  <c r="O59" i="1"/>
  <c r="P59" i="1"/>
  <c r="K58" i="1"/>
  <c r="L58" i="1"/>
  <c r="M58" i="1"/>
  <c r="N58" i="1"/>
  <c r="O58" i="1"/>
  <c r="P58" i="1"/>
  <c r="J59" i="1"/>
  <c r="J58" i="1"/>
  <c r="Q57" i="1" l="1"/>
  <c r="Q56" i="1"/>
  <c r="Q59" i="1" s="1"/>
  <c r="Q55" i="1"/>
  <c r="B10" i="1"/>
  <c r="B11" i="1" s="1"/>
  <c r="B12" i="1" s="1"/>
  <c r="B13" i="1" s="1"/>
  <c r="B14" i="1" s="1"/>
  <c r="B15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Q58" i="1" l="1"/>
  <c r="O28" i="7"/>
  <c r="O55" i="7"/>
  <c r="M53" i="7"/>
  <c r="M54" i="7"/>
  <c r="M55" i="7"/>
  <c r="M57" i="7" l="1"/>
  <c r="M56" i="7"/>
  <c r="O53" i="7"/>
  <c r="O56" i="7" s="1"/>
  <c r="O54" i="7"/>
  <c r="O57" i="7" s="1"/>
</calcChain>
</file>

<file path=xl/sharedStrings.xml><?xml version="1.0" encoding="utf-8"?>
<sst xmlns="http://schemas.openxmlformats.org/spreadsheetml/2006/main" count="1110" uniqueCount="263">
  <si>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</si>
  <si>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</si>
  <si>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</si>
  <si>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</si>
  <si>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</si>
  <si>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</si>
  <si>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</si>
  <si>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</si>
  <si>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</si>
  <si>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</si>
  <si>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</si>
  <si>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</si>
  <si>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</si>
  <si>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</si>
  <si>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</si>
  <si>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</si>
  <si>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</si>
  <si>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</si>
  <si>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</si>
  <si>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</si>
  <si>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</si>
  <si>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</si>
  <si>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</si>
  <si>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</si>
  <si>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Formulación y evaluación de proyectos</t>
  </si>
  <si>
    <t>801-A</t>
  </si>
  <si>
    <t>MII. Socorro Aguirre Fernádez</t>
  </si>
  <si>
    <t>CADENA IBARRA DAVID ELIAM</t>
  </si>
  <si>
    <t>CAMACHO PEREZ ALEJANDRO</t>
  </si>
  <si>
    <t>CARVALLO SILVA MADELYNE SCARLETT</t>
  </si>
  <si>
    <t>COBIX TEXNA JULIO CESAR</t>
  </si>
  <si>
    <t>DIEZ QUIJANO ALEJANDRO</t>
  </si>
  <si>
    <t>ESCUDERO ESCABAR MADY DEL CARMEN</t>
  </si>
  <si>
    <t>GUEIXPAL ESCRIBANO ANA BRISEIDA</t>
  </si>
  <si>
    <t>MACIEL MALAGA YARED DOLORES</t>
  </si>
  <si>
    <t>MONTIEL PEREZ YULIO ABELARDO</t>
  </si>
  <si>
    <t>MOTO ORTIZ RAMSES</t>
  </si>
  <si>
    <t>MUÑOZ AMBROS LEONARDO</t>
  </si>
  <si>
    <t>MUÑOZ CASTILLO SILVIA ALEXIA</t>
  </si>
  <si>
    <t>QUEVEDO COSME NANCY DEL CARMEN</t>
  </si>
  <si>
    <t>SALAZAR IXBA ANGELES MATILDE</t>
  </si>
  <si>
    <t>SANTOS REYES MA. ESTHER</t>
  </si>
  <si>
    <t>TOTO CORTES KARINA</t>
  </si>
  <si>
    <t>VENEGAS VENTURA PEDRO EDUARDO</t>
  </si>
  <si>
    <t>ZAPOT PEREZ MONSERRAT</t>
  </si>
  <si>
    <t>CHIGUIL HERNANDEZ EDUARDO MANUEL</t>
  </si>
  <si>
    <t xml:space="preserve"> ALVAREZ MIXTEGA ADAMARY DALIA</t>
  </si>
  <si>
    <t>ANDRADE COTA KEVIN</t>
  </si>
  <si>
    <t>ANTELE MACHUCHO FCO. ANTONIO</t>
  </si>
  <si>
    <t>ARGUDIN PONCE MELANY STEFANIA</t>
  </si>
  <si>
    <t>BRAVO CADENA ALEJANDRO</t>
  </si>
  <si>
    <t>CANO PUCHETA CRISTIAN JHOVANI</t>
  </si>
  <si>
    <t>CAPORAL COSME ANGELES NAYELLY</t>
  </si>
  <si>
    <t>CASTILLO MANTILLA MAXIMILIANO</t>
  </si>
  <si>
    <t>CHIGUIL HERNANDEZ JOSE EDUARDO</t>
  </si>
  <si>
    <t>CHIPOL SEBA VICTOR EDUARDO</t>
  </si>
  <si>
    <t>DOMINGUEZ ESCRIBANO OSWALDO</t>
  </si>
  <si>
    <t>FIGUEROA MARTINEZ ROBERTO DE JESUS</t>
  </si>
  <si>
    <t>ISIDORO DOMINGUEZ MONSERRAT</t>
  </si>
  <si>
    <t>IXBA LEAL JOSE CARLOS</t>
  </si>
  <si>
    <t>IXTEPAN CHIGUIL ELISA  MARIEL</t>
  </si>
  <si>
    <t>MALAGA TOTO LEONARDO ANDRES</t>
  </si>
  <si>
    <t>MIXTEGA VILLAVICENCIO DAYRON DE JESUS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</si>
  <si>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</si>
  <si>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</si>
  <si>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</si>
  <si>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</si>
  <si>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</si>
  <si>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BERDON CESAR ENRIQUE</t>
  </si>
  <si>
    <t>ROSADO SOSME DIANA LIZBETH</t>
  </si>
  <si>
    <t>SANCHEZ HERNANDEZ ALEJANDRO</t>
  </si>
  <si>
    <t>TEMICH CHIGO MELQUIADES</t>
  </si>
  <si>
    <t>TOME ALVARADO JORGE LUIS</t>
  </si>
  <si>
    <t>TORRES ARTIGAS JOSE MANUEL</t>
  </si>
  <si>
    <t>USCANGA CISNEROS MARLE ALEJANDRA</t>
  </si>
  <si>
    <t>VARGAS MINQUIZ VICTOR MANUEL</t>
  </si>
  <si>
    <t>VELASCO AMADOR EDER DE JESUS</t>
  </si>
  <si>
    <t>VILLEGAS TEPOX ODED DE JESUS</t>
  </si>
  <si>
    <t>XALA LUCHO MA. JOSE</t>
  </si>
  <si>
    <t>XALANDA QUEZADA HUMBERTO</t>
  </si>
  <si>
    <t>XIGUIL ALFONSIN MOISES</t>
  </si>
  <si>
    <t>XOLOT DIEZ LIZZARASSU</t>
  </si>
  <si>
    <t>801-B</t>
  </si>
  <si>
    <t>MII. Socorro Aguirre Fernández</t>
  </si>
  <si>
    <t>Higiene y Seguridad industrial</t>
  </si>
  <si>
    <t>401-A</t>
  </si>
  <si>
    <t>AGUILAR GOMEZ GERMAN</t>
  </si>
  <si>
    <t>ANTEMATE AREVALO RAFEL DE JESUS</t>
  </si>
  <si>
    <t>ANTEMATE VELASCO LIZBETH</t>
  </si>
  <si>
    <t>BELLI ARRES MADAI CONCEPCIÓN</t>
  </si>
  <si>
    <t>CAMPOS GABINO RODRIGO</t>
  </si>
  <si>
    <t>CARVAJAL BAXIN ROSA TAMILET</t>
  </si>
  <si>
    <t>CHAPOL PONCIANO ROSA ISELA</t>
  </si>
  <si>
    <t>CRUZ DOMINGUEZ IRVIN</t>
  </si>
  <si>
    <t>CRUZ MARCIAL LILIANA ARLET</t>
  </si>
  <si>
    <t>FRANCO ALFONSO ABRIL</t>
  </si>
  <si>
    <t>JAUREGUI SERRANO JULIANA</t>
  </si>
  <si>
    <t>LLANOS CHIPOL FRIDA SOFIA</t>
  </si>
  <si>
    <t>LOPEZ CPTA KATHYA NINEL</t>
  </si>
  <si>
    <t>MARTINEZ AGUIRRE IVETT MONTSERRAT</t>
  </si>
  <si>
    <t>MENDOZA MARTINEZ JOSSELIN</t>
  </si>
  <si>
    <t>MERLIN GARCIA VICTOR MANUEL</t>
  </si>
  <si>
    <t>ORTIZ MORALES MANUEL ALEJANDRO</t>
  </si>
  <si>
    <t>PEREZ AGUIRRE FATIMA</t>
  </si>
  <si>
    <t>PUCHETA PUCHETA CESAR YERAY</t>
  </si>
  <si>
    <t>RIOS CADENA MA. JOSE</t>
  </si>
  <si>
    <t>RIVERA CHAVEZ JUAN MANUEL</t>
  </si>
  <si>
    <t>TAXILAGA ARENAL ALEJANDRO DE J.</t>
  </si>
  <si>
    <t>TOTO CHAMPALA IDANIA RUBI</t>
  </si>
  <si>
    <t>URIETA MARTINEZ KARINA</t>
  </si>
  <si>
    <t>Higiene y seguridad industrial</t>
  </si>
  <si>
    <t>CHIGO MARTINEZ JORGE DAVID</t>
  </si>
  <si>
    <t>CAHVEZ PEÑA LUIS SAVIO</t>
  </si>
  <si>
    <t>CHIGO ALFONSO DAMARIS AZENETH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</si>
  <si>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</si>
  <si>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</si>
  <si>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</si>
  <si>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</si>
  <si>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</si>
  <si>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LINARES MIL FATIMA</t>
  </si>
  <si>
    <t>MASAE HIPOLITO JOSUE JORGE</t>
  </si>
  <si>
    <t>MAYA SEBA JORGE</t>
  </si>
  <si>
    <t>MONTIEL XALA MARJORIE</t>
  </si>
  <si>
    <t>MONTUFA LASCARES MILERNA GPE.</t>
  </si>
  <si>
    <t>MORALES CHAGALA MIGUEL</t>
  </si>
  <si>
    <t>PAXTIAN BAXIN ANAHR</t>
  </si>
  <si>
    <t>POXTAN RODRIGUEZ BEYER NATAN</t>
  </si>
  <si>
    <t>PUCHETA VELASCO ELIZABETH</t>
  </si>
  <si>
    <t>RAMIREZ OLIN JAIR</t>
  </si>
  <si>
    <t>SANCHEZ MARTINEZ ANA KAREN</t>
  </si>
  <si>
    <t>SANTIAGO MONTES JESUS</t>
  </si>
  <si>
    <t>SOTELO GRANDA GUMA JATRETH</t>
  </si>
  <si>
    <t>VERGARA FERNANDEZ IRAD JAFETH</t>
  </si>
  <si>
    <t>Investigación de operaciones I</t>
  </si>
  <si>
    <t>401-C</t>
  </si>
  <si>
    <t>SANTOS MIXTEGA LUIS FERNANDO</t>
  </si>
  <si>
    <t>GOMEZ SANTOS JOSE ROGELIO</t>
  </si>
  <si>
    <t>MARCE HIPOLITO JOSUE JORGE</t>
  </si>
  <si>
    <t>XOLO TOTO BLANCA ESTELA</t>
  </si>
  <si>
    <t>191U0013</t>
  </si>
  <si>
    <t>191U0019</t>
  </si>
  <si>
    <t>191U0023</t>
  </si>
  <si>
    <t>191U0041</t>
  </si>
  <si>
    <t>191U0050</t>
  </si>
  <si>
    <t>191U0052</t>
  </si>
  <si>
    <t>191U0055</t>
  </si>
  <si>
    <t>191U0062</t>
  </si>
  <si>
    <t>191U0069</t>
  </si>
  <si>
    <t>191U0080</t>
  </si>
  <si>
    <t>191U0070</t>
  </si>
  <si>
    <t>171U0032</t>
  </si>
  <si>
    <t>191U0015</t>
  </si>
  <si>
    <t>191U0057</t>
  </si>
  <si>
    <t>191U0058</t>
  </si>
  <si>
    <t>191U0063</t>
  </si>
  <si>
    <t>191U0083</t>
  </si>
  <si>
    <t>191U0086</t>
  </si>
  <si>
    <t>191U0078</t>
  </si>
  <si>
    <t>191U0012</t>
  </si>
  <si>
    <t>191U0033</t>
  </si>
  <si>
    <t>191U0054</t>
  </si>
  <si>
    <t>191U0076</t>
  </si>
  <si>
    <t>191U0088</t>
  </si>
  <si>
    <t>191U0016</t>
  </si>
  <si>
    <t>191U0032</t>
  </si>
  <si>
    <t>191U0030</t>
  </si>
  <si>
    <t>191U0005</t>
  </si>
  <si>
    <t>191U0006</t>
  </si>
  <si>
    <t>191U0014</t>
  </si>
  <si>
    <t>191U0037</t>
  </si>
  <si>
    <t>191U0038</t>
  </si>
  <si>
    <t>191U0042</t>
  </si>
  <si>
    <t>191U0049</t>
  </si>
  <si>
    <t>191U0051</t>
  </si>
  <si>
    <t>191U0066</t>
  </si>
  <si>
    <t>191U0068</t>
  </si>
  <si>
    <t>191U0073</t>
  </si>
  <si>
    <t>191U0074</t>
  </si>
  <si>
    <t>191U0075</t>
  </si>
  <si>
    <t>191U0077</t>
  </si>
  <si>
    <t>191U0082</t>
  </si>
  <si>
    <t>191U0084</t>
  </si>
  <si>
    <t>191U0081</t>
  </si>
  <si>
    <t>191U0079</t>
  </si>
  <si>
    <t>191U0059</t>
  </si>
  <si>
    <t>191U0036</t>
  </si>
  <si>
    <t>191U0031</t>
  </si>
  <si>
    <t>191U0027</t>
  </si>
  <si>
    <t>191U0021</t>
  </si>
  <si>
    <t>191U0660</t>
  </si>
  <si>
    <t>191U0011</t>
  </si>
  <si>
    <t>191U0008</t>
  </si>
  <si>
    <t>191U0003</t>
  </si>
  <si>
    <t>Topicos de calidad</t>
  </si>
  <si>
    <t>211U0055</t>
  </si>
  <si>
    <t>201U0565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</si>
  <si>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</si>
  <si>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</si>
  <si>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</si>
  <si>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</si>
  <si>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</si>
  <si>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</si>
  <si>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</si>
  <si>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</si>
  <si>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</si>
  <si>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</si>
  <si>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</si>
  <si>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</si>
  <si>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</si>
  <si>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</si>
  <si>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</si>
  <si>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</si>
  <si>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211U0114</t>
  </si>
  <si>
    <t>211U0118</t>
  </si>
  <si>
    <t>211U0121</t>
  </si>
  <si>
    <t>211U0123</t>
  </si>
  <si>
    <t>211U0654</t>
  </si>
  <si>
    <t>221U0046</t>
  </si>
  <si>
    <t>211U0077</t>
  </si>
  <si>
    <t>211U0660</t>
  </si>
  <si>
    <t>211U0087</t>
  </si>
  <si>
    <t>211U0091</t>
  </si>
  <si>
    <t>211U0047</t>
  </si>
  <si>
    <t>211U0605</t>
  </si>
  <si>
    <t>211U0094</t>
  </si>
  <si>
    <t>211U0096</t>
  </si>
  <si>
    <t>211U0103</t>
  </si>
  <si>
    <t>211U0104</t>
  </si>
  <si>
    <t>201U0549</t>
  </si>
  <si>
    <t>211U0106</t>
  </si>
  <si>
    <t>211U0107</t>
  </si>
  <si>
    <t>211U0110</t>
  </si>
  <si>
    <t>211U0111</t>
  </si>
  <si>
    <t>211U0048</t>
  </si>
  <si>
    <t>211U0102</t>
  </si>
  <si>
    <t>211U0117</t>
  </si>
  <si>
    <t>211U0566</t>
  </si>
  <si>
    <t>PAXTIAN BAXIN ANAHI</t>
  </si>
  <si>
    <t>CHAVEZ PEÑA LUIS SAULO</t>
  </si>
  <si>
    <t>221U0047</t>
  </si>
  <si>
    <t>211U0108</t>
  </si>
  <si>
    <t>201U0547</t>
  </si>
  <si>
    <t>221U0048</t>
  </si>
  <si>
    <t>211U088</t>
  </si>
  <si>
    <t>Febrero-Julio 2023</t>
  </si>
  <si>
    <t>Febrero-julio 2023</t>
  </si>
  <si>
    <t>MORALES FRANCO ORLANDO</t>
  </si>
  <si>
    <t>221U0811</t>
  </si>
  <si>
    <t>COSME COBAXIN ELIAS FERNANDO</t>
  </si>
  <si>
    <t>211U0079</t>
  </si>
  <si>
    <t>201U0030</t>
  </si>
  <si>
    <t>181U0078</t>
  </si>
  <si>
    <t>SANTOS REYES MARIA ESTHER</t>
  </si>
  <si>
    <t>201U0029</t>
  </si>
  <si>
    <t>RINCON ZAMUDIO JAVIER MANUEL</t>
  </si>
  <si>
    <t>211U0569</t>
  </si>
  <si>
    <t>MONTES JESUS SANTIAGO</t>
  </si>
  <si>
    <t>CHIGUIL HERNADEZ EDUARDO MANUEL</t>
  </si>
  <si>
    <t>COBIX TEXNA JULIO XESAR</t>
  </si>
  <si>
    <t>DIEZ QUIJANO GABRIEL ALEJANDRO</t>
  </si>
  <si>
    <t>VILLEGAS TEPOX ODED  YAZMIN</t>
  </si>
  <si>
    <t>211u0067</t>
  </si>
  <si>
    <t>LOPEZ CoTA KATHYA NINEL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</si>
</sst>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3"/>
  <sheetViews>
    <sheetView topLeftCell="A19" zoomScaleNormal="100" workbookViewId="0">
      <selection activeCell="D38" sqref="D38:I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84</v>
      </c>
      <c r="E4" s="34"/>
      <c r="F4" s="34"/>
      <c r="G4" s="34"/>
      <c r="I4" t="s">
        <v>1</v>
      </c>
      <c r="J4" s="36" t="s">
        <v>85</v>
      </c>
      <c r="K4" s="36"/>
      <c r="M4" t="s">
        <v>2</v>
      </c>
      <c r="N4" s="35">
        <v>45096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261</v>
      </c>
      <c r="D9" s="38" t="s">
        <v>86</v>
      </c>
      <c r="E9" s="38" t="s">
        <v>86</v>
      </c>
      <c r="F9" s="38" t="s">
        <v>86</v>
      </c>
      <c r="G9" s="38" t="s">
        <v>86</v>
      </c>
      <c r="H9" s="38" t="s">
        <v>86</v>
      </c>
      <c r="I9" s="38" t="s">
        <v>86</v>
      </c>
      <c r="J9" s="4">
        <v>0</v>
      </c>
      <c r="K9" s="4">
        <v>80</v>
      </c>
      <c r="L9" s="22">
        <v>0</v>
      </c>
      <c r="M9" s="22">
        <v>0</v>
      </c>
      <c r="N9" s="4">
        <v>0</v>
      </c>
      <c r="O9" s="4">
        <v>0</v>
      </c>
      <c r="P9" s="4">
        <v>0</v>
      </c>
      <c r="Q9" s="10">
        <f t="shared" ref="Q9:Q54" si="0">SUM(J9:P9)/7</f>
        <v>11.428571428571429</v>
      </c>
    </row>
    <row r="10" spans="2:18" x14ac:dyDescent="0.25">
      <c r="B10" s="6">
        <f t="shared" ref="B10:B54" si="1">B9+1</f>
        <v>2</v>
      </c>
      <c r="C10" s="6" t="s">
        <v>196</v>
      </c>
      <c r="D10" s="38" t="s">
        <v>87</v>
      </c>
      <c r="E10" s="38" t="s">
        <v>87</v>
      </c>
      <c r="F10" s="38" t="s">
        <v>87</v>
      </c>
      <c r="G10" s="38" t="s">
        <v>87</v>
      </c>
      <c r="H10" s="38" t="s">
        <v>87</v>
      </c>
      <c r="I10" s="38" t="s">
        <v>87</v>
      </c>
      <c r="J10" s="4">
        <v>90</v>
      </c>
      <c r="K10" s="4">
        <v>90</v>
      </c>
      <c r="L10" s="4">
        <v>93</v>
      </c>
      <c r="M10" s="4">
        <v>90</v>
      </c>
      <c r="N10" s="4">
        <v>0</v>
      </c>
      <c r="O10" s="4">
        <v>0</v>
      </c>
      <c r="P10" s="4">
        <v>0</v>
      </c>
      <c r="Q10" s="10">
        <f t="shared" si="0"/>
        <v>51.857142857142854</v>
      </c>
    </row>
    <row r="11" spans="2:18" x14ac:dyDescent="0.25">
      <c r="B11" s="6">
        <f t="shared" si="1"/>
        <v>3</v>
      </c>
      <c r="C11" s="6" t="s">
        <v>197</v>
      </c>
      <c r="D11" s="38" t="s">
        <v>88</v>
      </c>
      <c r="E11" s="38" t="s">
        <v>88</v>
      </c>
      <c r="F11" s="38" t="s">
        <v>88</v>
      </c>
      <c r="G11" s="38" t="s">
        <v>88</v>
      </c>
      <c r="H11" s="38" t="s">
        <v>88</v>
      </c>
      <c r="I11" s="38" t="s">
        <v>88</v>
      </c>
      <c r="J11" s="4">
        <v>90</v>
      </c>
      <c r="K11" s="4">
        <v>89</v>
      </c>
      <c r="L11" s="4">
        <v>95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52</v>
      </c>
    </row>
    <row r="12" spans="2:18" x14ac:dyDescent="0.25">
      <c r="B12" s="6">
        <f t="shared" si="1"/>
        <v>4</v>
      </c>
      <c r="C12" s="6" t="s">
        <v>198</v>
      </c>
      <c r="D12" s="38" t="s">
        <v>89</v>
      </c>
      <c r="E12" s="38" t="s">
        <v>89</v>
      </c>
      <c r="F12" s="38" t="s">
        <v>89</v>
      </c>
      <c r="G12" s="38" t="s">
        <v>89</v>
      </c>
      <c r="H12" s="38" t="s">
        <v>89</v>
      </c>
      <c r="I12" s="38" t="s">
        <v>89</v>
      </c>
      <c r="J12" s="4">
        <v>90</v>
      </c>
      <c r="K12" s="4">
        <v>90</v>
      </c>
      <c r="L12" s="4">
        <v>96</v>
      </c>
      <c r="M12" s="4">
        <v>93</v>
      </c>
      <c r="N12" s="4">
        <v>0</v>
      </c>
      <c r="O12" s="4">
        <v>0</v>
      </c>
      <c r="P12" s="4">
        <v>0</v>
      </c>
      <c r="Q12" s="10">
        <f t="shared" si="0"/>
        <v>52.714285714285715</v>
      </c>
    </row>
    <row r="13" spans="2:18" x14ac:dyDescent="0.25">
      <c r="B13" s="6">
        <f t="shared" si="1"/>
        <v>5</v>
      </c>
      <c r="C13" s="6" t="s">
        <v>199</v>
      </c>
      <c r="D13" s="38" t="s">
        <v>90</v>
      </c>
      <c r="E13" s="38" t="s">
        <v>90</v>
      </c>
      <c r="F13" s="38" t="s">
        <v>90</v>
      </c>
      <c r="G13" s="38" t="s">
        <v>90</v>
      </c>
      <c r="H13" s="38" t="s">
        <v>90</v>
      </c>
      <c r="I13" s="38" t="s">
        <v>90</v>
      </c>
      <c r="J13" s="4">
        <v>78</v>
      </c>
      <c r="K13" s="4">
        <v>92</v>
      </c>
      <c r="L13" s="22">
        <v>0</v>
      </c>
      <c r="M13" s="4">
        <v>88</v>
      </c>
      <c r="N13" s="4">
        <v>0</v>
      </c>
      <c r="O13" s="4">
        <v>0</v>
      </c>
      <c r="P13" s="4">
        <v>0</v>
      </c>
      <c r="Q13" s="10">
        <f t="shared" si="0"/>
        <v>36.857142857142854</v>
      </c>
    </row>
    <row r="14" spans="2:18" x14ac:dyDescent="0.25">
      <c r="B14" s="6">
        <f t="shared" si="1"/>
        <v>6</v>
      </c>
      <c r="C14" s="6" t="s">
        <v>200</v>
      </c>
      <c r="D14" s="38" t="s">
        <v>91</v>
      </c>
      <c r="E14" s="38" t="s">
        <v>91</v>
      </c>
      <c r="F14" s="38" t="s">
        <v>91</v>
      </c>
      <c r="G14" s="38" t="s">
        <v>91</v>
      </c>
      <c r="H14" s="38" t="s">
        <v>91</v>
      </c>
      <c r="I14" s="38" t="s">
        <v>91</v>
      </c>
      <c r="J14" s="4">
        <v>86</v>
      </c>
      <c r="K14" s="4">
        <v>93</v>
      </c>
      <c r="L14" s="4">
        <v>90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51.285714285714285</v>
      </c>
    </row>
    <row r="15" spans="2:18" x14ac:dyDescent="0.25">
      <c r="B15" s="6">
        <f t="shared" si="1"/>
        <v>7</v>
      </c>
      <c r="C15" s="6" t="s">
        <v>201</v>
      </c>
      <c r="D15" s="38" t="s">
        <v>92</v>
      </c>
      <c r="E15" s="38" t="s">
        <v>92</v>
      </c>
      <c r="F15" s="38" t="s">
        <v>92</v>
      </c>
      <c r="G15" s="38" t="s">
        <v>92</v>
      </c>
      <c r="H15" s="38" t="s">
        <v>92</v>
      </c>
      <c r="I15" s="38" t="s">
        <v>92</v>
      </c>
      <c r="J15" s="4">
        <v>92</v>
      </c>
      <c r="K15" s="4">
        <v>88</v>
      </c>
      <c r="L15" s="4">
        <v>93</v>
      </c>
      <c r="M15" s="4">
        <v>94</v>
      </c>
      <c r="N15" s="4">
        <v>0</v>
      </c>
      <c r="O15" s="4">
        <v>0</v>
      </c>
      <c r="P15" s="4">
        <v>0</v>
      </c>
      <c r="Q15" s="10">
        <f t="shared" si="0"/>
        <v>52.428571428571431</v>
      </c>
    </row>
    <row r="16" spans="2:18" x14ac:dyDescent="0.25">
      <c r="B16" s="6">
        <f t="shared" si="1"/>
        <v>8</v>
      </c>
      <c r="C16" s="6" t="s">
        <v>249</v>
      </c>
      <c r="D16" s="38" t="s">
        <v>248</v>
      </c>
      <c r="E16" s="38"/>
      <c r="F16" s="38"/>
      <c r="G16" s="38"/>
      <c r="H16" s="38"/>
      <c r="I16" s="38"/>
      <c r="J16" s="4">
        <v>0</v>
      </c>
      <c r="K16" s="22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ref="Q16" si="2">SUM(J16:P16)/7</f>
        <v>0</v>
      </c>
    </row>
    <row r="17" spans="2:17" x14ac:dyDescent="0.25">
      <c r="B17" s="6">
        <f t="shared" si="1"/>
        <v>9</v>
      </c>
      <c r="C17" s="6" t="s">
        <v>202</v>
      </c>
      <c r="D17" s="38" t="s">
        <v>93</v>
      </c>
      <c r="E17" s="38" t="s">
        <v>93</v>
      </c>
      <c r="F17" s="38" t="s">
        <v>93</v>
      </c>
      <c r="G17" s="38" t="s">
        <v>93</v>
      </c>
      <c r="H17" s="38" t="s">
        <v>93</v>
      </c>
      <c r="I17" s="38" t="s">
        <v>93</v>
      </c>
      <c r="J17" s="4">
        <v>75</v>
      </c>
      <c r="K17" s="22">
        <v>0</v>
      </c>
      <c r="L17" s="22">
        <v>0</v>
      </c>
      <c r="M17" s="22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x14ac:dyDescent="0.25">
      <c r="B18" s="6">
        <f t="shared" si="1"/>
        <v>10</v>
      </c>
      <c r="C18" s="6" t="s">
        <v>203</v>
      </c>
      <c r="D18" s="38" t="s">
        <v>94</v>
      </c>
      <c r="E18" s="38" t="s">
        <v>94</v>
      </c>
      <c r="F18" s="38" t="s">
        <v>94</v>
      </c>
      <c r="G18" s="38" t="s">
        <v>94</v>
      </c>
      <c r="H18" s="38" t="s">
        <v>94</v>
      </c>
      <c r="I18" s="38" t="s">
        <v>94</v>
      </c>
      <c r="J18" s="4">
        <v>90</v>
      </c>
      <c r="K18" s="4">
        <v>89</v>
      </c>
      <c r="L18" s="4">
        <v>97</v>
      </c>
      <c r="M18" s="4">
        <v>91</v>
      </c>
      <c r="N18" s="4">
        <v>0</v>
      </c>
      <c r="O18" s="4">
        <v>0</v>
      </c>
      <c r="P18" s="4">
        <v>0</v>
      </c>
      <c r="Q18" s="10">
        <f t="shared" si="0"/>
        <v>52.428571428571431</v>
      </c>
    </row>
    <row r="19" spans="2:17" x14ac:dyDescent="0.25">
      <c r="B19" s="6">
        <f t="shared" si="1"/>
        <v>11</v>
      </c>
      <c r="C19" s="6" t="s">
        <v>204</v>
      </c>
      <c r="D19" s="38" t="s">
        <v>95</v>
      </c>
      <c r="E19" s="38" t="s">
        <v>95</v>
      </c>
      <c r="F19" s="38" t="s">
        <v>95</v>
      </c>
      <c r="G19" s="38" t="s">
        <v>95</v>
      </c>
      <c r="H19" s="38" t="s">
        <v>95</v>
      </c>
      <c r="I19" s="38" t="s">
        <v>95</v>
      </c>
      <c r="J19" s="4">
        <v>85</v>
      </c>
      <c r="K19" s="4">
        <v>72</v>
      </c>
      <c r="L19" s="4">
        <v>80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44.571428571428569</v>
      </c>
    </row>
    <row r="20" spans="2:17" x14ac:dyDescent="0.25">
      <c r="B20" s="6">
        <f t="shared" si="1"/>
        <v>12</v>
      </c>
      <c r="C20" s="6" t="s">
        <v>250</v>
      </c>
      <c r="D20" s="38" t="s">
        <v>96</v>
      </c>
      <c r="E20" s="38" t="s">
        <v>96</v>
      </c>
      <c r="F20" s="38" t="s">
        <v>96</v>
      </c>
      <c r="G20" s="38" t="s">
        <v>96</v>
      </c>
      <c r="H20" s="38" t="s">
        <v>96</v>
      </c>
      <c r="I20" s="38" t="s">
        <v>96</v>
      </c>
      <c r="J20" s="4">
        <v>82</v>
      </c>
      <c r="K20" s="4">
        <v>89</v>
      </c>
      <c r="L20" s="4">
        <v>92</v>
      </c>
      <c r="M20" s="4">
        <v>88</v>
      </c>
      <c r="N20" s="4">
        <v>0</v>
      </c>
      <c r="O20" s="4">
        <v>0</v>
      </c>
      <c r="P20" s="4">
        <v>0</v>
      </c>
      <c r="Q20" s="10">
        <f t="shared" si="0"/>
        <v>50.142857142857146</v>
      </c>
    </row>
    <row r="21" spans="2:17" x14ac:dyDescent="0.25">
      <c r="B21" s="6">
        <f t="shared" si="1"/>
        <v>13</v>
      </c>
      <c r="C21" s="6" t="s">
        <v>205</v>
      </c>
      <c r="D21" s="38" t="s">
        <v>97</v>
      </c>
      <c r="E21" s="38" t="s">
        <v>97</v>
      </c>
      <c r="F21" s="38" t="s">
        <v>97</v>
      </c>
      <c r="G21" s="38" t="s">
        <v>97</v>
      </c>
      <c r="H21" s="38" t="s">
        <v>97</v>
      </c>
      <c r="I21" s="38" t="s">
        <v>97</v>
      </c>
      <c r="J21" s="4">
        <v>80</v>
      </c>
      <c r="K21" s="4">
        <v>88</v>
      </c>
      <c r="L21" s="4">
        <v>95</v>
      </c>
      <c r="M21" s="4">
        <v>93</v>
      </c>
      <c r="N21" s="4">
        <v>0</v>
      </c>
      <c r="O21" s="4">
        <v>0</v>
      </c>
      <c r="P21" s="4">
        <v>0</v>
      </c>
      <c r="Q21" s="10">
        <f t="shared" si="0"/>
        <v>50.857142857142854</v>
      </c>
    </row>
    <row r="22" spans="2:17" x14ac:dyDescent="0.25">
      <c r="B22" s="6">
        <f t="shared" si="1"/>
        <v>14</v>
      </c>
      <c r="C22" s="6" t="s">
        <v>206</v>
      </c>
      <c r="D22" s="38" t="s">
        <v>262</v>
      </c>
      <c r="E22" s="38" t="s">
        <v>98</v>
      </c>
      <c r="F22" s="38" t="s">
        <v>98</v>
      </c>
      <c r="G22" s="38" t="s">
        <v>98</v>
      </c>
      <c r="H22" s="38" t="s">
        <v>98</v>
      </c>
      <c r="I22" s="38" t="s">
        <v>98</v>
      </c>
      <c r="J22" s="4">
        <v>78</v>
      </c>
      <c r="K22" s="4">
        <v>90</v>
      </c>
      <c r="L22" s="4">
        <v>89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49.571428571428569</v>
      </c>
    </row>
    <row r="23" spans="2:17" x14ac:dyDescent="0.25">
      <c r="B23" s="6">
        <f t="shared" si="1"/>
        <v>15</v>
      </c>
      <c r="C23" s="6" t="s">
        <v>207</v>
      </c>
      <c r="D23" s="38" t="s">
        <v>99</v>
      </c>
      <c r="E23" s="38" t="s">
        <v>99</v>
      </c>
      <c r="F23" s="38" t="s">
        <v>99</v>
      </c>
      <c r="G23" s="38" t="s">
        <v>99</v>
      </c>
      <c r="H23" s="38" t="s">
        <v>99</v>
      </c>
      <c r="I23" s="38" t="s">
        <v>99</v>
      </c>
      <c r="J23" s="4">
        <v>70</v>
      </c>
      <c r="K23" s="4">
        <v>70</v>
      </c>
      <c r="L23" s="4">
        <v>94</v>
      </c>
      <c r="M23" s="4">
        <v>89</v>
      </c>
      <c r="N23" s="4">
        <v>0</v>
      </c>
      <c r="O23" s="4">
        <v>0</v>
      </c>
      <c r="P23" s="4">
        <v>0</v>
      </c>
      <c r="Q23" s="10">
        <f t="shared" si="0"/>
        <v>46.142857142857146</v>
      </c>
    </row>
    <row r="24" spans="2:17" x14ac:dyDescent="0.25">
      <c r="B24" s="6">
        <f t="shared" si="1"/>
        <v>16</v>
      </c>
      <c r="C24" s="6" t="s">
        <v>208</v>
      </c>
      <c r="D24" s="38" t="s">
        <v>100</v>
      </c>
      <c r="E24" s="38" t="s">
        <v>100</v>
      </c>
      <c r="F24" s="38" t="s">
        <v>100</v>
      </c>
      <c r="G24" s="38" t="s">
        <v>100</v>
      </c>
      <c r="H24" s="38" t="s">
        <v>100</v>
      </c>
      <c r="I24" s="38" t="s">
        <v>100</v>
      </c>
      <c r="J24" s="4">
        <v>90</v>
      </c>
      <c r="K24" s="4">
        <v>80</v>
      </c>
      <c r="L24" s="4">
        <v>92</v>
      </c>
      <c r="M24" s="4">
        <v>93</v>
      </c>
      <c r="N24" s="4">
        <v>0</v>
      </c>
      <c r="O24" s="4">
        <v>0</v>
      </c>
      <c r="P24" s="4">
        <v>0</v>
      </c>
      <c r="Q24" s="10">
        <f t="shared" si="0"/>
        <v>50.714285714285715</v>
      </c>
    </row>
    <row r="25" spans="2:17" x14ac:dyDescent="0.25">
      <c r="B25" s="6">
        <f t="shared" si="1"/>
        <v>17</v>
      </c>
      <c r="C25" s="6" t="s">
        <v>209</v>
      </c>
      <c r="D25" s="38" t="s">
        <v>101</v>
      </c>
      <c r="E25" s="38" t="s">
        <v>101</v>
      </c>
      <c r="F25" s="38" t="s">
        <v>101</v>
      </c>
      <c r="G25" s="38" t="s">
        <v>101</v>
      </c>
      <c r="H25" s="38" t="s">
        <v>101</v>
      </c>
      <c r="I25" s="38" t="s">
        <v>101</v>
      </c>
      <c r="J25" s="4">
        <v>80</v>
      </c>
      <c r="K25" s="4">
        <v>80</v>
      </c>
      <c r="L25" s="22">
        <v>0</v>
      </c>
      <c r="M25" s="22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s="6" t="s">
        <v>210</v>
      </c>
      <c r="D26" s="38" t="s">
        <v>102</v>
      </c>
      <c r="E26" s="38" t="s">
        <v>102</v>
      </c>
      <c r="F26" s="38" t="s">
        <v>102</v>
      </c>
      <c r="G26" s="38" t="s">
        <v>102</v>
      </c>
      <c r="H26" s="38" t="s">
        <v>102</v>
      </c>
      <c r="I26" s="38" t="s">
        <v>102</v>
      </c>
      <c r="J26" s="4">
        <v>85</v>
      </c>
      <c r="K26" s="4">
        <v>90</v>
      </c>
      <c r="L26" s="4">
        <v>85</v>
      </c>
      <c r="M26" s="4">
        <v>87</v>
      </c>
      <c r="N26" s="4">
        <v>0</v>
      </c>
      <c r="O26" s="4">
        <v>0</v>
      </c>
      <c r="P26" s="4">
        <v>0</v>
      </c>
      <c r="Q26" s="10">
        <f t="shared" si="0"/>
        <v>49.571428571428569</v>
      </c>
    </row>
    <row r="27" spans="2:17" x14ac:dyDescent="0.25">
      <c r="B27" s="6">
        <f t="shared" si="1"/>
        <v>19</v>
      </c>
      <c r="C27" s="6" t="s">
        <v>195</v>
      </c>
      <c r="D27" s="38" t="s">
        <v>103</v>
      </c>
      <c r="E27" s="38" t="s">
        <v>103</v>
      </c>
      <c r="F27" s="38" t="s">
        <v>103</v>
      </c>
      <c r="G27" s="38" t="s">
        <v>103</v>
      </c>
      <c r="H27" s="38" t="s">
        <v>103</v>
      </c>
      <c r="I27" s="38" t="s">
        <v>103</v>
      </c>
      <c r="J27" s="4">
        <v>80</v>
      </c>
      <c r="K27" s="4">
        <v>75</v>
      </c>
      <c r="L27" s="4">
        <v>80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33.571428571428569</v>
      </c>
    </row>
    <row r="28" spans="2:17" x14ac:dyDescent="0.25">
      <c r="B28" s="6">
        <f t="shared" si="1"/>
        <v>20</v>
      </c>
      <c r="C28" s="6" t="s">
        <v>211</v>
      </c>
      <c r="D28" s="38" t="s">
        <v>104</v>
      </c>
      <c r="E28" s="38" t="s">
        <v>104</v>
      </c>
      <c r="F28" s="38" t="s">
        <v>104</v>
      </c>
      <c r="G28" s="38" t="s">
        <v>104</v>
      </c>
      <c r="H28" s="38" t="s">
        <v>104</v>
      </c>
      <c r="I28" s="38" t="s">
        <v>104</v>
      </c>
      <c r="J28" s="4">
        <v>90</v>
      </c>
      <c r="K28" s="4">
        <v>88</v>
      </c>
      <c r="L28" s="4">
        <v>93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50.857142857142854</v>
      </c>
    </row>
    <row r="29" spans="2:17" x14ac:dyDescent="0.25">
      <c r="B29" s="6">
        <f t="shared" si="1"/>
        <v>21</v>
      </c>
      <c r="C29" s="6" t="s">
        <v>212</v>
      </c>
      <c r="D29" s="38" t="s">
        <v>105</v>
      </c>
      <c r="E29" s="38" t="s">
        <v>105</v>
      </c>
      <c r="F29" s="38" t="s">
        <v>105</v>
      </c>
      <c r="G29" s="38" t="s">
        <v>105</v>
      </c>
      <c r="H29" s="38" t="s">
        <v>105</v>
      </c>
      <c r="I29" s="38" t="s">
        <v>105</v>
      </c>
      <c r="J29" s="4">
        <v>70</v>
      </c>
      <c r="K29" s="22">
        <v>0</v>
      </c>
      <c r="L29" s="4">
        <v>89</v>
      </c>
      <c r="M29" s="4">
        <v>84</v>
      </c>
      <c r="N29" s="4">
        <v>0</v>
      </c>
      <c r="O29" s="4">
        <v>0</v>
      </c>
      <c r="P29" s="4">
        <v>0</v>
      </c>
      <c r="Q29" s="10">
        <f t="shared" si="0"/>
        <v>34.714285714285715</v>
      </c>
    </row>
    <row r="30" spans="2:17" x14ac:dyDescent="0.25">
      <c r="B30" s="6">
        <f t="shared" si="1"/>
        <v>22</v>
      </c>
      <c r="C30" s="6" t="s">
        <v>216</v>
      </c>
      <c r="D30" s="38" t="s">
        <v>106</v>
      </c>
      <c r="E30" s="38" t="s">
        <v>106</v>
      </c>
      <c r="F30" s="38" t="s">
        <v>106</v>
      </c>
      <c r="G30" s="38" t="s">
        <v>106</v>
      </c>
      <c r="H30" s="38" t="s">
        <v>106</v>
      </c>
      <c r="I30" s="38" t="s">
        <v>106</v>
      </c>
      <c r="J30" s="4">
        <v>0</v>
      </c>
      <c r="K30" s="22">
        <v>0</v>
      </c>
      <c r="L30" s="25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213</v>
      </c>
      <c r="D31" s="38" t="s">
        <v>107</v>
      </c>
      <c r="E31" s="38" t="s">
        <v>107</v>
      </c>
      <c r="F31" s="38" t="s">
        <v>107</v>
      </c>
      <c r="G31" s="38" t="s">
        <v>107</v>
      </c>
      <c r="H31" s="38" t="s">
        <v>107</v>
      </c>
      <c r="I31" s="38" t="s">
        <v>107</v>
      </c>
      <c r="J31" s="4">
        <v>0</v>
      </c>
      <c r="K31" s="22">
        <v>0</v>
      </c>
      <c r="L31" s="4">
        <v>75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10.714285714285714</v>
      </c>
    </row>
    <row r="32" spans="2:17" x14ac:dyDescent="0.25">
      <c r="B32" s="6">
        <f t="shared" si="1"/>
        <v>24</v>
      </c>
      <c r="C32" s="6" t="s">
        <v>214</v>
      </c>
      <c r="D32" s="38" t="s">
        <v>108</v>
      </c>
      <c r="E32" s="38" t="s">
        <v>108</v>
      </c>
      <c r="F32" s="38" t="s">
        <v>108</v>
      </c>
      <c r="G32" s="38" t="s">
        <v>108</v>
      </c>
      <c r="H32" s="38" t="s">
        <v>108</v>
      </c>
      <c r="I32" s="38" t="s">
        <v>108</v>
      </c>
      <c r="J32" s="4">
        <v>90</v>
      </c>
      <c r="K32" s="4">
        <v>89</v>
      </c>
      <c r="L32" s="4">
        <v>95</v>
      </c>
      <c r="M32" s="4">
        <v>90</v>
      </c>
      <c r="N32" s="4">
        <v>0</v>
      </c>
      <c r="O32" s="4">
        <v>0</v>
      </c>
      <c r="P32" s="4">
        <v>0</v>
      </c>
      <c r="Q32" s="10">
        <f t="shared" si="0"/>
        <v>52</v>
      </c>
    </row>
    <row r="33" spans="2:17" x14ac:dyDescent="0.25">
      <c r="B33" s="6">
        <f t="shared" si="1"/>
        <v>25</v>
      </c>
      <c r="C33" s="6" t="s">
        <v>215</v>
      </c>
      <c r="D33" s="38" t="s">
        <v>109</v>
      </c>
      <c r="E33" s="38" t="s">
        <v>109</v>
      </c>
      <c r="F33" s="38" t="s">
        <v>109</v>
      </c>
      <c r="G33" s="38" t="s">
        <v>109</v>
      </c>
      <c r="H33" s="38" t="s">
        <v>109</v>
      </c>
      <c r="I33" s="38" t="s">
        <v>109</v>
      </c>
      <c r="J33" s="4">
        <v>85</v>
      </c>
      <c r="K33" s="4">
        <v>88</v>
      </c>
      <c r="L33" s="4">
        <v>96</v>
      </c>
      <c r="M33" s="4">
        <v>92</v>
      </c>
      <c r="N33" s="4">
        <v>0</v>
      </c>
      <c r="O33" s="4">
        <v>0</v>
      </c>
      <c r="P33" s="4">
        <v>0</v>
      </c>
      <c r="Q33" s="10">
        <f t="shared" si="0"/>
        <v>51.571428571428569</v>
      </c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3"/>
      <c r="K54" s="3"/>
      <c r="L54" s="3"/>
      <c r="M54" s="3"/>
      <c r="N54" s="3"/>
      <c r="O54" s="3"/>
      <c r="P54" s="3"/>
      <c r="Q54" s="10">
        <f t="shared" si="0"/>
        <v>0</v>
      </c>
    </row>
    <row r="55" spans="2:17" x14ac:dyDescent="0.25">
      <c r="C55" s="27"/>
      <c r="D55" s="27"/>
      <c r="E55" s="1"/>
      <c r="H55" s="30" t="s">
        <v>19</v>
      </c>
      <c r="I55" s="30"/>
      <c r="J55" s="11">
        <f t="shared" ref="J55:P55" si="3">COUNTIF(J9:J54,"&gt;=70")</f>
        <v>21</v>
      </c>
      <c r="K55" s="11">
        <f t="shared" si="3"/>
        <v>20</v>
      </c>
      <c r="L55" s="11">
        <f t="shared" si="3"/>
        <v>19</v>
      </c>
      <c r="M55" s="11">
        <f t="shared" si="3"/>
        <v>18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>COUNTIF(Q9:Q49,"&gt;=70")</f>
        <v>0</v>
      </c>
    </row>
    <row r="56" spans="2:17" x14ac:dyDescent="0.25">
      <c r="C56" s="27"/>
      <c r="D56" s="27"/>
      <c r="E56" s="8"/>
      <c r="H56" s="31" t="s">
        <v>20</v>
      </c>
      <c r="I56" s="31"/>
      <c r="J56" s="12">
        <f t="shared" ref="J56:Q56" si="4">COUNTIF(J9:J54,"&lt;70")</f>
        <v>4</v>
      </c>
      <c r="K56" s="12">
        <f t="shared" si="4"/>
        <v>5</v>
      </c>
      <c r="L56" s="12">
        <f t="shared" si="4"/>
        <v>6</v>
      </c>
      <c r="M56" s="12">
        <f t="shared" si="4"/>
        <v>7</v>
      </c>
      <c r="N56" s="12">
        <f t="shared" si="4"/>
        <v>25</v>
      </c>
      <c r="O56" s="12">
        <f t="shared" si="4"/>
        <v>25</v>
      </c>
      <c r="P56" s="12">
        <f t="shared" si="4"/>
        <v>25</v>
      </c>
      <c r="Q56" s="12">
        <f t="shared" si="4"/>
        <v>46</v>
      </c>
    </row>
    <row r="57" spans="2:17" x14ac:dyDescent="0.25">
      <c r="C57" s="27"/>
      <c r="D57" s="27"/>
      <c r="E57" s="27"/>
      <c r="H57" s="31" t="s">
        <v>21</v>
      </c>
      <c r="I57" s="31"/>
      <c r="J57" s="12">
        <f t="shared" ref="J57:Q57" si="5">COUNT(J9:J54)</f>
        <v>25</v>
      </c>
      <c r="K57" s="12">
        <f t="shared" si="5"/>
        <v>25</v>
      </c>
      <c r="L57" s="12">
        <f t="shared" si="5"/>
        <v>25</v>
      </c>
      <c r="M57" s="12">
        <f t="shared" si="5"/>
        <v>25</v>
      </c>
      <c r="N57" s="12">
        <f t="shared" si="5"/>
        <v>25</v>
      </c>
      <c r="O57" s="12">
        <f t="shared" si="5"/>
        <v>25</v>
      </c>
      <c r="P57" s="12">
        <f t="shared" si="5"/>
        <v>25</v>
      </c>
      <c r="Q57" s="12">
        <f t="shared" si="5"/>
        <v>46</v>
      </c>
    </row>
    <row r="58" spans="2:17" x14ac:dyDescent="0.25">
      <c r="C58" s="27"/>
      <c r="D58" s="27"/>
      <c r="E58" s="1"/>
      <c r="H58" s="32" t="s">
        <v>16</v>
      </c>
      <c r="I58" s="32"/>
      <c r="J58" s="13">
        <f t="shared" ref="J58:Q58" si="6">J55/J57</f>
        <v>0.84</v>
      </c>
      <c r="K58" s="14">
        <f t="shared" si="6"/>
        <v>0.8</v>
      </c>
      <c r="L58" s="14">
        <f t="shared" si="6"/>
        <v>0.76</v>
      </c>
      <c r="M58" s="14">
        <f t="shared" si="6"/>
        <v>0.72</v>
      </c>
      <c r="N58" s="14">
        <f t="shared" si="6"/>
        <v>0</v>
      </c>
      <c r="O58" s="14">
        <f t="shared" si="6"/>
        <v>0</v>
      </c>
      <c r="P58" s="14">
        <f t="shared" si="6"/>
        <v>0</v>
      </c>
      <c r="Q58" s="14">
        <f t="shared" si="6"/>
        <v>0</v>
      </c>
    </row>
    <row r="59" spans="2:17" x14ac:dyDescent="0.25">
      <c r="C59" s="27"/>
      <c r="D59" s="27"/>
      <c r="E59" s="1"/>
      <c r="H59" s="32" t="s">
        <v>17</v>
      </c>
      <c r="I59" s="32"/>
      <c r="J59" s="13">
        <f t="shared" ref="J59:Q59" si="7">J56/J57</f>
        <v>0.16</v>
      </c>
      <c r="K59" s="13">
        <f t="shared" si="7"/>
        <v>0.2</v>
      </c>
      <c r="L59" s="14">
        <f t="shared" si="7"/>
        <v>0.24</v>
      </c>
      <c r="M59" s="14">
        <f t="shared" si="7"/>
        <v>0.28000000000000003</v>
      </c>
      <c r="N59" s="14">
        <f t="shared" si="7"/>
        <v>1</v>
      </c>
      <c r="O59" s="14">
        <f t="shared" si="7"/>
        <v>1</v>
      </c>
      <c r="P59" s="14">
        <f t="shared" si="7"/>
        <v>1</v>
      </c>
      <c r="Q59" s="14">
        <f t="shared" si="7"/>
        <v>1</v>
      </c>
    </row>
    <row r="60" spans="2:17" x14ac:dyDescent="0.25">
      <c r="C60" s="27"/>
      <c r="D60" s="27"/>
      <c r="E60" s="8"/>
    </row>
    <row r="61" spans="2:17" x14ac:dyDescent="0.25">
      <c r="C61" s="1"/>
      <c r="D61" s="1"/>
      <c r="E61" s="8"/>
    </row>
    <row r="62" spans="2:17" x14ac:dyDescent="0.25">
      <c r="J62" s="33"/>
      <c r="K62" s="33"/>
      <c r="L62" s="33"/>
      <c r="M62" s="33"/>
      <c r="N62" s="33"/>
      <c r="O62" s="33"/>
      <c r="P62" s="33"/>
    </row>
    <row r="63" spans="2:17" x14ac:dyDescent="0.25">
      <c r="J63" s="26" t="s">
        <v>18</v>
      </c>
      <c r="K63" s="26"/>
      <c r="L63" s="26"/>
      <c r="M63" s="26"/>
      <c r="N63" s="26"/>
      <c r="O63" s="26"/>
      <c r="P63" s="26"/>
    </row>
  </sheetData>
  <mergeCells count="68">
    <mergeCell ref="D49:I49"/>
    <mergeCell ref="D34:I34"/>
    <mergeCell ref="D35:I35"/>
    <mergeCell ref="D36:I36"/>
    <mergeCell ref="D37:I37"/>
    <mergeCell ref="D38:I38"/>
    <mergeCell ref="D39:I39"/>
    <mergeCell ref="D45:I45"/>
    <mergeCell ref="C55:D55"/>
    <mergeCell ref="D50:I50"/>
    <mergeCell ref="D51:I51"/>
    <mergeCell ref="D52:I52"/>
    <mergeCell ref="D53:I53"/>
    <mergeCell ref="D54:I54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24:I24"/>
    <mergeCell ref="D25:I25"/>
    <mergeCell ref="D26:I26"/>
    <mergeCell ref="D27:I27"/>
    <mergeCell ref="J4:K4"/>
    <mergeCell ref="D16:I16"/>
    <mergeCell ref="D23:I23"/>
    <mergeCell ref="N4:O4"/>
    <mergeCell ref="D6:G6"/>
    <mergeCell ref="D8:I8"/>
    <mergeCell ref="D21:I21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20:I20"/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4"/>
  <sheetViews>
    <sheetView topLeftCell="B32" zoomScale="110" zoomScaleNormal="110" workbookViewId="0">
      <selection activeCell="M47" sqref="M47:M4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2:17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7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36" t="s">
        <v>82</v>
      </c>
      <c r="K4" s="36"/>
      <c r="M4" t="s">
        <v>2</v>
      </c>
      <c r="N4" s="35">
        <v>45096</v>
      </c>
      <c r="O4" s="3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83</v>
      </c>
      <c r="L6" s="28"/>
      <c r="M6" s="28"/>
      <c r="N6" s="28"/>
      <c r="O6" s="2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9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192</v>
      </c>
      <c r="D9" s="38" t="s">
        <v>46</v>
      </c>
      <c r="E9" s="38" t="s">
        <v>46</v>
      </c>
      <c r="F9" s="38" t="s">
        <v>46</v>
      </c>
      <c r="G9" s="38" t="s">
        <v>46</v>
      </c>
      <c r="H9" s="38" t="s">
        <v>46</v>
      </c>
      <c r="I9" s="38" t="s">
        <v>46</v>
      </c>
      <c r="J9" s="4">
        <f>28+33+30</f>
        <v>91</v>
      </c>
      <c r="K9" s="4">
        <f>27+34+30</f>
        <v>91</v>
      </c>
      <c r="L9" s="4">
        <f>36+28+30</f>
        <v>94</v>
      </c>
      <c r="M9" s="4">
        <v>86</v>
      </c>
      <c r="N9" s="4">
        <v>0</v>
      </c>
      <c r="O9" s="4">
        <v>0</v>
      </c>
      <c r="P9" s="10">
        <f>SUM(J9:O9)/6</f>
        <v>60.333333333333336</v>
      </c>
    </row>
    <row r="10" spans="2:17" x14ac:dyDescent="0.25">
      <c r="B10" s="6">
        <f>B9+1</f>
        <v>2</v>
      </c>
      <c r="C10" s="6" t="s">
        <v>166</v>
      </c>
      <c r="D10" s="38" t="s">
        <v>47</v>
      </c>
      <c r="E10" s="38" t="s">
        <v>47</v>
      </c>
      <c r="F10" s="38" t="s">
        <v>47</v>
      </c>
      <c r="G10" s="38" t="s">
        <v>47</v>
      </c>
      <c r="H10" s="38" t="s">
        <v>47</v>
      </c>
      <c r="I10" s="38" t="s">
        <v>47</v>
      </c>
      <c r="J10" s="4">
        <f>28+21+30</f>
        <v>79</v>
      </c>
      <c r="K10" s="4">
        <v>94</v>
      </c>
      <c r="L10" s="4">
        <f>38+30+28</f>
        <v>96</v>
      </c>
      <c r="M10" s="4">
        <v>93</v>
      </c>
      <c r="N10" s="4">
        <v>0</v>
      </c>
      <c r="O10" s="4">
        <v>0</v>
      </c>
      <c r="P10" s="10">
        <f t="shared" ref="P10:P46" si="0">SUM(J10:O10)/6</f>
        <v>60.333333333333336</v>
      </c>
    </row>
    <row r="11" spans="2:17" x14ac:dyDescent="0.25">
      <c r="B11" s="6">
        <f t="shared" ref="B11:B55" si="1">B10+1</f>
        <v>3</v>
      </c>
      <c r="C11" s="6" t="s">
        <v>167</v>
      </c>
      <c r="D11" s="38" t="s">
        <v>48</v>
      </c>
      <c r="E11" s="38" t="s">
        <v>48</v>
      </c>
      <c r="F11" s="38" t="s">
        <v>48</v>
      </c>
      <c r="G11" s="38" t="s">
        <v>48</v>
      </c>
      <c r="H11" s="38" t="s">
        <v>48</v>
      </c>
      <c r="I11" s="38" t="s">
        <v>48</v>
      </c>
      <c r="J11" s="4">
        <f>30+30+33</f>
        <v>93</v>
      </c>
      <c r="K11" s="4">
        <v>0</v>
      </c>
      <c r="L11" s="4">
        <f>30+38+23</f>
        <v>91</v>
      </c>
      <c r="M11" s="4">
        <v>95</v>
      </c>
      <c r="N11" s="4">
        <v>0</v>
      </c>
      <c r="O11" s="4">
        <v>0</v>
      </c>
      <c r="P11" s="10">
        <f t="shared" si="0"/>
        <v>46.5</v>
      </c>
    </row>
    <row r="12" spans="2:17" x14ac:dyDescent="0.25">
      <c r="B12" s="6">
        <f t="shared" si="1"/>
        <v>4</v>
      </c>
      <c r="C12" s="6" t="s">
        <v>191</v>
      </c>
      <c r="D12" s="38" t="s">
        <v>49</v>
      </c>
      <c r="E12" s="38" t="s">
        <v>49</v>
      </c>
      <c r="F12" s="38" t="s">
        <v>49</v>
      </c>
      <c r="G12" s="38" t="s">
        <v>49</v>
      </c>
      <c r="H12" s="38" t="s">
        <v>49</v>
      </c>
      <c r="I12" s="38" t="s">
        <v>49</v>
      </c>
      <c r="J12" s="4">
        <f>25+25+20</f>
        <v>70</v>
      </c>
      <c r="K12" s="4">
        <f>28+20+30</f>
        <v>78</v>
      </c>
      <c r="L12" s="4">
        <f>28+25+25</f>
        <v>78</v>
      </c>
      <c r="M12" s="4">
        <v>81</v>
      </c>
      <c r="N12" s="4">
        <v>0</v>
      </c>
      <c r="O12" s="4">
        <v>0</v>
      </c>
      <c r="P12" s="10">
        <f t="shared" si="0"/>
        <v>51.166666666666664</v>
      </c>
    </row>
    <row r="13" spans="2:17" x14ac:dyDescent="0.25">
      <c r="B13" s="6">
        <f t="shared" si="1"/>
        <v>5</v>
      </c>
      <c r="C13" s="6" t="s">
        <v>190</v>
      </c>
      <c r="D13" s="38" t="s">
        <v>50</v>
      </c>
      <c r="E13" s="38" t="s">
        <v>50</v>
      </c>
      <c r="F13" s="38" t="s">
        <v>50</v>
      </c>
      <c r="G13" s="38" t="s">
        <v>50</v>
      </c>
      <c r="H13" s="38" t="s">
        <v>50</v>
      </c>
      <c r="I13" s="38" t="s">
        <v>50</v>
      </c>
      <c r="J13" s="4">
        <f>20+25+25</f>
        <v>70</v>
      </c>
      <c r="K13" s="4">
        <v>73</v>
      </c>
      <c r="L13" s="4">
        <v>0</v>
      </c>
      <c r="M13" s="4">
        <v>78</v>
      </c>
      <c r="N13" s="4">
        <v>0</v>
      </c>
      <c r="O13" s="4">
        <v>0</v>
      </c>
      <c r="P13" s="10">
        <f t="shared" si="0"/>
        <v>36.833333333333336</v>
      </c>
    </row>
    <row r="14" spans="2:17" x14ac:dyDescent="0.25">
      <c r="B14" s="6">
        <f t="shared" si="1"/>
        <v>6</v>
      </c>
      <c r="C14" s="6" t="s">
        <v>168</v>
      </c>
      <c r="D14" s="38" t="s">
        <v>51</v>
      </c>
      <c r="E14" s="38" t="s">
        <v>51</v>
      </c>
      <c r="F14" s="38" t="s">
        <v>51</v>
      </c>
      <c r="G14" s="38" t="s">
        <v>51</v>
      </c>
      <c r="H14" s="38" t="s">
        <v>51</v>
      </c>
      <c r="I14" s="38" t="s">
        <v>51</v>
      </c>
      <c r="J14" s="4">
        <f>30+30+25</f>
        <v>85</v>
      </c>
      <c r="K14" s="4">
        <f>28+30+30</f>
        <v>88</v>
      </c>
      <c r="L14" s="4">
        <f>34+30+27</f>
        <v>91</v>
      </c>
      <c r="M14" s="4">
        <v>93</v>
      </c>
      <c r="N14" s="4">
        <v>0</v>
      </c>
      <c r="O14" s="4">
        <v>0</v>
      </c>
      <c r="P14" s="10">
        <f t="shared" si="0"/>
        <v>59.5</v>
      </c>
    </row>
    <row r="15" spans="2:17" x14ac:dyDescent="0.25">
      <c r="B15" s="6">
        <f t="shared" si="1"/>
        <v>7</v>
      </c>
      <c r="C15" s="6" t="s">
        <v>151</v>
      </c>
      <c r="D15" s="38" t="s">
        <v>52</v>
      </c>
      <c r="E15" s="38" t="s">
        <v>52</v>
      </c>
      <c r="F15" s="38" t="s">
        <v>52</v>
      </c>
      <c r="G15" s="38" t="s">
        <v>52</v>
      </c>
      <c r="H15" s="38" t="s">
        <v>52</v>
      </c>
      <c r="I15" s="38" t="s">
        <v>52</v>
      </c>
      <c r="J15" s="4">
        <f>30+27+30</f>
        <v>87</v>
      </c>
      <c r="K15" s="4">
        <f>34+30+30</f>
        <v>94</v>
      </c>
      <c r="L15" s="4">
        <f>36+30+27</f>
        <v>93</v>
      </c>
      <c r="M15" s="4">
        <v>96</v>
      </c>
      <c r="N15" s="4">
        <v>0</v>
      </c>
      <c r="O15" s="4">
        <v>0</v>
      </c>
      <c r="P15" s="10">
        <f t="shared" si="0"/>
        <v>61.666666666666664</v>
      </c>
    </row>
    <row r="16" spans="2:17" x14ac:dyDescent="0.25">
      <c r="B16" s="6">
        <f t="shared" si="1"/>
        <v>8</v>
      </c>
      <c r="C16" s="6" t="s">
        <v>189</v>
      </c>
      <c r="D16" s="38" t="s">
        <v>53</v>
      </c>
      <c r="E16" s="38" t="s">
        <v>53</v>
      </c>
      <c r="F16" s="38" t="s">
        <v>53</v>
      </c>
      <c r="G16" s="38" t="s">
        <v>53</v>
      </c>
      <c r="H16" s="38" t="s">
        <v>53</v>
      </c>
      <c r="I16" s="38" t="s">
        <v>53</v>
      </c>
      <c r="J16" s="4">
        <f>25+30+30</f>
        <v>85</v>
      </c>
      <c r="K16" s="4">
        <f>30+37+20</f>
        <v>87</v>
      </c>
      <c r="L16" s="4">
        <f>25+27+37</f>
        <v>89</v>
      </c>
      <c r="M16" s="4">
        <v>82</v>
      </c>
      <c r="N16" s="4">
        <v>0</v>
      </c>
      <c r="O16" s="4">
        <v>0</v>
      </c>
      <c r="P16" s="10">
        <f t="shared" si="0"/>
        <v>57.166666666666664</v>
      </c>
    </row>
    <row r="17" spans="2:16" x14ac:dyDescent="0.25">
      <c r="B17" s="6">
        <f t="shared" si="1"/>
        <v>9</v>
      </c>
      <c r="C17" s="6" t="s">
        <v>140</v>
      </c>
      <c r="D17" s="38" t="s">
        <v>54</v>
      </c>
      <c r="E17" s="38" t="s">
        <v>54</v>
      </c>
      <c r="F17" s="38" t="s">
        <v>54</v>
      </c>
      <c r="G17" s="38" t="s">
        <v>54</v>
      </c>
      <c r="H17" s="38" t="s">
        <v>54</v>
      </c>
      <c r="I17" s="38" t="s">
        <v>54</v>
      </c>
      <c r="J17" s="4">
        <f>28+28+27</f>
        <v>83</v>
      </c>
      <c r="K17" s="4">
        <f>29+27+30</f>
        <v>86</v>
      </c>
      <c r="L17" s="4">
        <v>90</v>
      </c>
      <c r="M17" s="4">
        <v>85</v>
      </c>
      <c r="N17" s="4">
        <v>0</v>
      </c>
      <c r="O17" s="4">
        <v>0</v>
      </c>
      <c r="P17" s="10">
        <f t="shared" si="0"/>
        <v>57.333333333333336</v>
      </c>
    </row>
    <row r="18" spans="2:16" x14ac:dyDescent="0.25">
      <c r="B18" s="6">
        <f t="shared" si="1"/>
        <v>10</v>
      </c>
      <c r="C18" s="6" t="s">
        <v>188</v>
      </c>
      <c r="D18" s="38" t="s">
        <v>55</v>
      </c>
      <c r="E18" s="38" t="s">
        <v>55</v>
      </c>
      <c r="F18" s="38" t="s">
        <v>55</v>
      </c>
      <c r="G18" s="38" t="s">
        <v>55</v>
      </c>
      <c r="H18" s="38" t="s">
        <v>55</v>
      </c>
      <c r="I18" s="38" t="s">
        <v>55</v>
      </c>
      <c r="J18" s="4">
        <v>78</v>
      </c>
      <c r="K18" s="4">
        <f>28+20+25</f>
        <v>73</v>
      </c>
      <c r="L18" s="4">
        <v>0</v>
      </c>
      <c r="M18" s="4">
        <v>85</v>
      </c>
      <c r="N18" s="4">
        <v>0</v>
      </c>
      <c r="O18" s="4">
        <v>0</v>
      </c>
      <c r="P18" s="10">
        <f t="shared" si="0"/>
        <v>39.333333333333336</v>
      </c>
    </row>
    <row r="19" spans="2:16" x14ac:dyDescent="0.25">
      <c r="B19" s="6">
        <f t="shared" si="1"/>
        <v>11</v>
      </c>
      <c r="C19" s="6" t="s">
        <v>187</v>
      </c>
      <c r="D19" s="38" t="s">
        <v>56</v>
      </c>
      <c r="E19" s="38" t="s">
        <v>56</v>
      </c>
      <c r="F19" s="38" t="s">
        <v>56</v>
      </c>
      <c r="G19" s="38" t="s">
        <v>56</v>
      </c>
      <c r="H19" s="38" t="s">
        <v>56</v>
      </c>
      <c r="I19" s="38" t="s">
        <v>56</v>
      </c>
      <c r="J19" s="4">
        <f>27+30+33</f>
        <v>90</v>
      </c>
      <c r="K19" s="4">
        <v>96</v>
      </c>
      <c r="L19" s="4">
        <f>29+30+40</f>
        <v>99</v>
      </c>
      <c r="M19" s="4">
        <v>100</v>
      </c>
      <c r="N19" s="4">
        <v>0</v>
      </c>
      <c r="O19" s="4">
        <v>0</v>
      </c>
      <c r="P19" s="10">
        <f t="shared" si="0"/>
        <v>64.166666666666671</v>
      </c>
    </row>
    <row r="20" spans="2:16" x14ac:dyDescent="0.25">
      <c r="B20" s="6">
        <f t="shared" si="1"/>
        <v>12</v>
      </c>
      <c r="C20" s="6" t="s">
        <v>186</v>
      </c>
      <c r="D20" s="38" t="s">
        <v>57</v>
      </c>
      <c r="E20" s="38" t="s">
        <v>57</v>
      </c>
      <c r="F20" s="38" t="s">
        <v>57</v>
      </c>
      <c r="G20" s="38" t="s">
        <v>57</v>
      </c>
      <c r="H20" s="38" t="s">
        <v>57</v>
      </c>
      <c r="I20" s="38" t="s">
        <v>57</v>
      </c>
      <c r="J20" s="4">
        <f>27+30+33</f>
        <v>90</v>
      </c>
      <c r="K20" s="4">
        <v>96</v>
      </c>
      <c r="L20" s="4">
        <f>40+28+29</f>
        <v>97</v>
      </c>
      <c r="M20" s="4">
        <v>100</v>
      </c>
      <c r="N20" s="4">
        <v>0</v>
      </c>
      <c r="O20" s="4">
        <v>0</v>
      </c>
      <c r="P20" s="10">
        <f t="shared" si="0"/>
        <v>63.833333333333336</v>
      </c>
    </row>
    <row r="21" spans="2:16" x14ac:dyDescent="0.25">
      <c r="B21" s="6">
        <f t="shared" si="1"/>
        <v>13</v>
      </c>
      <c r="C21" s="6" t="s">
        <v>185</v>
      </c>
      <c r="D21" s="38" t="s">
        <v>58</v>
      </c>
      <c r="E21" s="38" t="s">
        <v>58</v>
      </c>
      <c r="F21" s="38" t="s">
        <v>58</v>
      </c>
      <c r="G21" s="38" t="s">
        <v>58</v>
      </c>
      <c r="H21" s="38" t="s">
        <v>58</v>
      </c>
      <c r="I21" s="38" t="s">
        <v>58</v>
      </c>
      <c r="J21" s="4">
        <f>33+27+30</f>
        <v>90</v>
      </c>
      <c r="K21" s="4">
        <v>95</v>
      </c>
      <c r="L21" s="4">
        <f>29+29+40</f>
        <v>98</v>
      </c>
      <c r="M21" s="4">
        <v>98</v>
      </c>
      <c r="N21" s="4">
        <v>0</v>
      </c>
      <c r="O21" s="4">
        <v>0</v>
      </c>
      <c r="P21" s="10">
        <f t="shared" si="0"/>
        <v>63.5</v>
      </c>
    </row>
    <row r="22" spans="2:16" x14ac:dyDescent="0.25">
      <c r="B22" s="6">
        <f t="shared" si="1"/>
        <v>14</v>
      </c>
      <c r="C22" s="6" t="s">
        <v>169</v>
      </c>
      <c r="D22" s="38" t="s">
        <v>59</v>
      </c>
      <c r="E22" s="38" t="s">
        <v>59</v>
      </c>
      <c r="F22" s="38" t="s">
        <v>59</v>
      </c>
      <c r="G22" s="38" t="s">
        <v>59</v>
      </c>
      <c r="H22" s="38" t="s">
        <v>59</v>
      </c>
      <c r="I22" s="38" t="s">
        <v>59</v>
      </c>
      <c r="J22" s="4">
        <f>28+27+30</f>
        <v>85</v>
      </c>
      <c r="K22" s="4">
        <v>94</v>
      </c>
      <c r="L22" s="4">
        <f>30+30+36</f>
        <v>96</v>
      </c>
      <c r="M22" s="4">
        <v>87</v>
      </c>
      <c r="N22" s="4">
        <v>0</v>
      </c>
      <c r="O22" s="4">
        <v>0</v>
      </c>
      <c r="P22" s="10">
        <f t="shared" si="0"/>
        <v>60.333333333333336</v>
      </c>
    </row>
    <row r="23" spans="2:16" x14ac:dyDescent="0.25">
      <c r="B23" s="6">
        <f t="shared" si="1"/>
        <v>15</v>
      </c>
      <c r="C23" s="6" t="s">
        <v>170</v>
      </c>
      <c r="D23" s="38" t="s">
        <v>60</v>
      </c>
      <c r="E23" s="38" t="s">
        <v>60</v>
      </c>
      <c r="F23" s="38" t="s">
        <v>60</v>
      </c>
      <c r="G23" s="38" t="s">
        <v>60</v>
      </c>
      <c r="H23" s="38" t="s">
        <v>60</v>
      </c>
      <c r="I23" s="38" t="s">
        <v>60</v>
      </c>
      <c r="J23" s="4">
        <f>28+21+30</f>
        <v>79</v>
      </c>
      <c r="K23" s="4">
        <f>34+60</f>
        <v>94</v>
      </c>
      <c r="L23" s="4">
        <f>28+27+30</f>
        <v>85</v>
      </c>
      <c r="M23" s="4">
        <v>95</v>
      </c>
      <c r="N23" s="4">
        <v>0</v>
      </c>
      <c r="O23" s="4">
        <v>0</v>
      </c>
      <c r="P23" s="10">
        <f t="shared" si="0"/>
        <v>58.833333333333336</v>
      </c>
    </row>
    <row r="24" spans="2:16" x14ac:dyDescent="0.25">
      <c r="B24" s="6">
        <f t="shared" si="1"/>
        <v>16</v>
      </c>
      <c r="C24" s="6" t="s">
        <v>171</v>
      </c>
      <c r="D24" s="38" t="s">
        <v>61</v>
      </c>
      <c r="E24" s="38" t="s">
        <v>61</v>
      </c>
      <c r="F24" s="38" t="s">
        <v>61</v>
      </c>
      <c r="G24" s="38" t="s">
        <v>61</v>
      </c>
      <c r="H24" s="38" t="s">
        <v>61</v>
      </c>
      <c r="I24" s="38" t="s">
        <v>61</v>
      </c>
      <c r="J24" s="4">
        <f>36+30+30</f>
        <v>96</v>
      </c>
      <c r="K24" s="4">
        <v>96</v>
      </c>
      <c r="L24" s="4">
        <f>30+36+30</f>
        <v>96</v>
      </c>
      <c r="M24" s="4">
        <v>96</v>
      </c>
      <c r="N24" s="4">
        <v>0</v>
      </c>
      <c r="O24" s="4">
        <v>0</v>
      </c>
      <c r="P24" s="10">
        <f t="shared" si="0"/>
        <v>64</v>
      </c>
    </row>
    <row r="25" spans="2:16" x14ac:dyDescent="0.25">
      <c r="B25" s="6">
        <f t="shared" si="1"/>
        <v>17</v>
      </c>
      <c r="C25" s="6" t="s">
        <v>172</v>
      </c>
      <c r="D25" s="38" t="s">
        <v>62</v>
      </c>
      <c r="E25" s="38" t="s">
        <v>62</v>
      </c>
      <c r="F25" s="38" t="s">
        <v>62</v>
      </c>
      <c r="G25" s="38" t="s">
        <v>62</v>
      </c>
      <c r="H25" s="38" t="s">
        <v>62</v>
      </c>
      <c r="I25" s="38" t="s">
        <v>62</v>
      </c>
      <c r="J25" s="4">
        <f>40+30+30</f>
        <v>100</v>
      </c>
      <c r="K25" s="4">
        <v>97</v>
      </c>
      <c r="L25" s="4">
        <v>100</v>
      </c>
      <c r="M25" s="4">
        <v>98</v>
      </c>
      <c r="N25" s="4">
        <v>0</v>
      </c>
      <c r="O25" s="4">
        <v>0</v>
      </c>
      <c r="P25" s="10">
        <f t="shared" si="0"/>
        <v>65.833333333333329</v>
      </c>
    </row>
    <row r="26" spans="2:16" x14ac:dyDescent="0.25">
      <c r="B26" s="6">
        <f t="shared" si="1"/>
        <v>18</v>
      </c>
      <c r="C26" s="6" t="s">
        <v>173</v>
      </c>
      <c r="D26" s="38" t="s">
        <v>63</v>
      </c>
      <c r="E26" s="38" t="s">
        <v>63</v>
      </c>
      <c r="F26" s="38" t="s">
        <v>63</v>
      </c>
      <c r="G26" s="38" t="s">
        <v>63</v>
      </c>
      <c r="H26" s="38" t="s">
        <v>63</v>
      </c>
      <c r="I26" s="38" t="s">
        <v>63</v>
      </c>
      <c r="J26" s="4">
        <f>23+30+30</f>
        <v>83</v>
      </c>
      <c r="K26" s="4">
        <v>95</v>
      </c>
      <c r="L26" s="4">
        <f>30+28+40</f>
        <v>98</v>
      </c>
      <c r="M26" s="4">
        <v>96</v>
      </c>
      <c r="N26" s="4">
        <v>0</v>
      </c>
      <c r="O26" s="4">
        <v>0</v>
      </c>
      <c r="P26" s="10">
        <f t="shared" si="0"/>
        <v>62</v>
      </c>
    </row>
    <row r="27" spans="2:16" x14ac:dyDescent="0.25">
      <c r="B27" s="6">
        <f t="shared" si="1"/>
        <v>19</v>
      </c>
      <c r="C27" s="6" t="s">
        <v>152</v>
      </c>
      <c r="D27" s="38" t="s">
        <v>64</v>
      </c>
      <c r="E27" s="38" t="s">
        <v>64</v>
      </c>
      <c r="F27" s="38" t="s">
        <v>64</v>
      </c>
      <c r="G27" s="38" t="s">
        <v>64</v>
      </c>
      <c r="H27" s="38" t="s">
        <v>64</v>
      </c>
      <c r="I27" s="38" t="s">
        <v>64</v>
      </c>
      <c r="J27" s="4">
        <f>33+30+30</f>
        <v>93</v>
      </c>
      <c r="K27" s="4">
        <f>30+30+34</f>
        <v>94</v>
      </c>
      <c r="L27" s="4">
        <f>40+30+30</f>
        <v>100</v>
      </c>
      <c r="M27" s="4">
        <v>100</v>
      </c>
      <c r="N27" s="4">
        <v>0</v>
      </c>
      <c r="O27" s="4">
        <v>0</v>
      </c>
      <c r="P27" s="10">
        <f t="shared" si="0"/>
        <v>64.5</v>
      </c>
    </row>
    <row r="28" spans="2:16" x14ac:dyDescent="0.25">
      <c r="B28" s="6">
        <f t="shared" si="1"/>
        <v>20</v>
      </c>
      <c r="C28" s="6" t="s">
        <v>153</v>
      </c>
      <c r="D28" s="38" t="s">
        <v>65</v>
      </c>
      <c r="E28" s="38" t="s">
        <v>65</v>
      </c>
      <c r="F28" s="38" t="s">
        <v>65</v>
      </c>
      <c r="G28" s="38" t="s">
        <v>65</v>
      </c>
      <c r="H28" s="38" t="s">
        <v>65</v>
      </c>
      <c r="I28" s="38" t="s">
        <v>65</v>
      </c>
      <c r="J28" s="4">
        <f>36+30+30</f>
        <v>96</v>
      </c>
      <c r="K28" s="4">
        <v>99</v>
      </c>
      <c r="L28" s="4">
        <v>100</v>
      </c>
      <c r="M28" s="4">
        <v>100</v>
      </c>
      <c r="N28" s="4">
        <v>0</v>
      </c>
      <c r="O28" s="4">
        <v>0</v>
      </c>
      <c r="P28" s="10">
        <f t="shared" si="0"/>
        <v>65.833333333333329</v>
      </c>
    </row>
    <row r="29" spans="2:16" x14ac:dyDescent="0.25">
      <c r="B29" s="6">
        <f t="shared" si="1"/>
        <v>21</v>
      </c>
      <c r="C29" s="6" t="s">
        <v>184</v>
      </c>
      <c r="D29" s="38" t="s">
        <v>66</v>
      </c>
      <c r="E29" s="38" t="s">
        <v>66</v>
      </c>
      <c r="F29" s="38" t="s">
        <v>66</v>
      </c>
      <c r="G29" s="38" t="s">
        <v>66</v>
      </c>
      <c r="H29" s="38" t="s">
        <v>66</v>
      </c>
      <c r="I29" s="38" t="s">
        <v>66</v>
      </c>
      <c r="J29" s="4">
        <f>25+15+30</f>
        <v>70</v>
      </c>
      <c r="K29" s="4">
        <v>70</v>
      </c>
      <c r="L29" s="4">
        <f>25+25+36</f>
        <v>86</v>
      </c>
      <c r="M29" s="4">
        <v>83</v>
      </c>
      <c r="N29" s="4">
        <v>0</v>
      </c>
      <c r="O29" s="4">
        <v>0</v>
      </c>
      <c r="P29" s="10">
        <f t="shared" si="0"/>
        <v>51.5</v>
      </c>
    </row>
    <row r="30" spans="2:16" x14ac:dyDescent="0.25">
      <c r="B30" s="6">
        <f t="shared" si="1"/>
        <v>22</v>
      </c>
      <c r="C30" s="6" t="s">
        <v>154</v>
      </c>
      <c r="D30" s="38" t="s">
        <v>67</v>
      </c>
      <c r="E30" s="38" t="s">
        <v>67</v>
      </c>
      <c r="F30" s="38" t="s">
        <v>67</v>
      </c>
      <c r="G30" s="38" t="s">
        <v>67</v>
      </c>
      <c r="H30" s="38" t="s">
        <v>67</v>
      </c>
      <c r="I30" s="38" t="s">
        <v>67</v>
      </c>
      <c r="J30" s="4">
        <f>28+30+30</f>
        <v>88</v>
      </c>
      <c r="K30" s="4">
        <v>94</v>
      </c>
      <c r="L30" s="4">
        <f>25+36+30</f>
        <v>91</v>
      </c>
      <c r="M30" s="4">
        <v>98</v>
      </c>
      <c r="N30" s="4">
        <v>0</v>
      </c>
      <c r="O30" s="4">
        <v>0</v>
      </c>
      <c r="P30" s="10">
        <f t="shared" si="0"/>
        <v>61.833333333333336</v>
      </c>
    </row>
    <row r="31" spans="2:16" x14ac:dyDescent="0.25">
      <c r="B31" s="6">
        <f t="shared" si="1"/>
        <v>23</v>
      </c>
      <c r="C31" s="6" t="s">
        <v>174</v>
      </c>
      <c r="D31" s="38" t="s">
        <v>68</v>
      </c>
      <c r="E31" s="38" t="s">
        <v>68</v>
      </c>
      <c r="F31" s="38" t="s">
        <v>68</v>
      </c>
      <c r="G31" s="38" t="s">
        <v>68</v>
      </c>
      <c r="H31" s="38" t="s">
        <v>68</v>
      </c>
      <c r="I31" s="38" t="s">
        <v>68</v>
      </c>
      <c r="J31" s="4">
        <f>25+30+28</f>
        <v>83</v>
      </c>
      <c r="K31" s="4">
        <v>90</v>
      </c>
      <c r="L31" s="4">
        <f>39+25+25</f>
        <v>89</v>
      </c>
      <c r="M31" s="22">
        <v>0</v>
      </c>
      <c r="N31" s="4">
        <v>0</v>
      </c>
      <c r="O31" s="4">
        <v>0</v>
      </c>
      <c r="P31" s="10">
        <f t="shared" si="0"/>
        <v>43.666666666666664</v>
      </c>
    </row>
    <row r="32" spans="2:16" x14ac:dyDescent="0.25">
      <c r="B32" s="6">
        <f t="shared" si="1"/>
        <v>24</v>
      </c>
      <c r="C32" s="6" t="s">
        <v>175</v>
      </c>
      <c r="D32" s="38" t="s">
        <v>69</v>
      </c>
      <c r="E32" s="38" t="s">
        <v>69</v>
      </c>
      <c r="F32" s="38" t="s">
        <v>69</v>
      </c>
      <c r="G32" s="38" t="s">
        <v>69</v>
      </c>
      <c r="H32" s="38" t="s">
        <v>69</v>
      </c>
      <c r="I32" s="38" t="s">
        <v>69</v>
      </c>
      <c r="J32" s="4">
        <f>30+30+30</f>
        <v>90</v>
      </c>
      <c r="K32" s="4">
        <v>97</v>
      </c>
      <c r="L32" s="4">
        <v>100</v>
      </c>
      <c r="M32" s="4">
        <v>95</v>
      </c>
      <c r="N32" s="4">
        <v>0</v>
      </c>
      <c r="O32" s="4">
        <v>0</v>
      </c>
      <c r="P32" s="10">
        <f t="shared" si="0"/>
        <v>63.666666666666664</v>
      </c>
    </row>
    <row r="33" spans="2:16" x14ac:dyDescent="0.25">
      <c r="B33" s="6">
        <f t="shared" si="1"/>
        <v>25</v>
      </c>
      <c r="C33" s="6" t="s">
        <v>147</v>
      </c>
      <c r="D33" s="38" t="s">
        <v>40</v>
      </c>
      <c r="E33" s="38"/>
      <c r="F33" s="38"/>
      <c r="G33" s="38"/>
      <c r="H33" s="38"/>
      <c r="I33" s="38"/>
      <c r="J33" s="1">
        <v>93</v>
      </c>
      <c r="K33" s="4">
        <f>37+60</f>
        <v>97</v>
      </c>
      <c r="L33" s="4">
        <f>36+30+30</f>
        <v>96</v>
      </c>
      <c r="M33" s="4">
        <v>98</v>
      </c>
      <c r="N33" s="4">
        <v>0</v>
      </c>
      <c r="O33" s="4">
        <v>0</v>
      </c>
      <c r="P33" s="10"/>
    </row>
    <row r="34" spans="2:16" x14ac:dyDescent="0.25">
      <c r="B34" s="6">
        <f t="shared" si="1"/>
        <v>26</v>
      </c>
      <c r="C34" s="6" t="s">
        <v>251</v>
      </c>
      <c r="D34" s="38" t="s">
        <v>70</v>
      </c>
      <c r="E34" s="38" t="s">
        <v>70</v>
      </c>
      <c r="F34" s="38" t="s">
        <v>70</v>
      </c>
      <c r="G34" s="38" t="s">
        <v>70</v>
      </c>
      <c r="H34" s="38" t="s">
        <v>70</v>
      </c>
      <c r="I34" s="38" t="s">
        <v>70</v>
      </c>
      <c r="J34" s="4">
        <f>24+23+30</f>
        <v>77</v>
      </c>
      <c r="K34" s="4">
        <v>70</v>
      </c>
      <c r="L34" s="4">
        <v>0</v>
      </c>
      <c r="M34" s="4">
        <v>85</v>
      </c>
      <c r="N34" s="4">
        <v>0</v>
      </c>
      <c r="O34" s="4">
        <v>0</v>
      </c>
      <c r="P34" s="10">
        <f t="shared" si="0"/>
        <v>38.666666666666664</v>
      </c>
    </row>
    <row r="35" spans="2:16" x14ac:dyDescent="0.25">
      <c r="B35" s="6">
        <f t="shared" si="1"/>
        <v>27</v>
      </c>
      <c r="C35" s="6" t="s">
        <v>149</v>
      </c>
      <c r="D35" s="38" t="s">
        <v>252</v>
      </c>
      <c r="E35" s="38"/>
      <c r="F35" s="38"/>
      <c r="G35" s="38"/>
      <c r="H35" s="38"/>
      <c r="I35" s="38"/>
      <c r="J35" s="4">
        <v>84</v>
      </c>
      <c r="K35" s="4">
        <v>96</v>
      </c>
      <c r="L35" s="4">
        <f>37+27+30</f>
        <v>94</v>
      </c>
      <c r="M35" s="4">
        <v>98</v>
      </c>
      <c r="N35" s="4">
        <v>0</v>
      </c>
      <c r="O35" s="4">
        <v>0</v>
      </c>
      <c r="P35" s="10"/>
    </row>
    <row r="36" spans="2:16" x14ac:dyDescent="0.25">
      <c r="B36" s="6">
        <f t="shared" si="1"/>
        <v>28</v>
      </c>
      <c r="C36" s="6" t="s">
        <v>176</v>
      </c>
      <c r="D36" s="38" t="s">
        <v>71</v>
      </c>
      <c r="E36" s="38" t="s">
        <v>71</v>
      </c>
      <c r="F36" s="38" t="s">
        <v>71</v>
      </c>
      <c r="G36" s="38" t="s">
        <v>71</v>
      </c>
      <c r="H36" s="38" t="s">
        <v>71</v>
      </c>
      <c r="I36" s="38" t="s">
        <v>71</v>
      </c>
      <c r="J36" s="4">
        <f>36+30+28</f>
        <v>94</v>
      </c>
      <c r="K36" s="4">
        <f>30+30+28</f>
        <v>88</v>
      </c>
      <c r="L36" s="4">
        <f>28+27+36</f>
        <v>91</v>
      </c>
      <c r="M36" s="4">
        <v>95</v>
      </c>
      <c r="N36" s="4">
        <v>0</v>
      </c>
      <c r="O36" s="4">
        <v>0</v>
      </c>
      <c r="P36" s="10">
        <f t="shared" si="0"/>
        <v>61.333333333333336</v>
      </c>
    </row>
    <row r="37" spans="2:16" x14ac:dyDescent="0.25">
      <c r="B37" s="6">
        <f t="shared" si="1"/>
        <v>29</v>
      </c>
      <c r="C37" s="6" t="s">
        <v>177</v>
      </c>
      <c r="D37" s="38" t="s">
        <v>72</v>
      </c>
      <c r="E37" s="38" t="s">
        <v>72</v>
      </c>
      <c r="F37" s="38" t="s">
        <v>72</v>
      </c>
      <c r="G37" s="38" t="s">
        <v>72</v>
      </c>
      <c r="H37" s="38" t="s">
        <v>72</v>
      </c>
      <c r="I37" s="38" t="s">
        <v>72</v>
      </c>
      <c r="J37" s="4">
        <f>28+25+30</f>
        <v>83</v>
      </c>
      <c r="K37" s="4">
        <f>37+27+30</f>
        <v>94</v>
      </c>
      <c r="L37" s="4">
        <f>30+26+38</f>
        <v>94</v>
      </c>
      <c r="M37" s="4">
        <v>93</v>
      </c>
      <c r="N37" s="4">
        <v>0</v>
      </c>
      <c r="O37" s="4">
        <v>0</v>
      </c>
      <c r="P37" s="10">
        <f t="shared" si="0"/>
        <v>60.666666666666664</v>
      </c>
    </row>
    <row r="38" spans="2:16" x14ac:dyDescent="0.25">
      <c r="B38" s="6">
        <f t="shared" si="1"/>
        <v>30</v>
      </c>
      <c r="C38" s="6" t="s">
        <v>178</v>
      </c>
      <c r="D38" s="38" t="s">
        <v>73</v>
      </c>
      <c r="E38" s="38" t="s">
        <v>73</v>
      </c>
      <c r="F38" s="38" t="s">
        <v>73</v>
      </c>
      <c r="G38" s="38" t="s">
        <v>73</v>
      </c>
      <c r="H38" s="38" t="s">
        <v>73</v>
      </c>
      <c r="I38" s="38" t="s">
        <v>73</v>
      </c>
      <c r="J38" s="4">
        <f>40+30+30</f>
        <v>100</v>
      </c>
      <c r="K38" s="4">
        <v>97</v>
      </c>
      <c r="L38" s="4">
        <v>100</v>
      </c>
      <c r="M38" s="4">
        <v>100</v>
      </c>
      <c r="N38" s="4">
        <v>0</v>
      </c>
      <c r="O38" s="4">
        <v>0</v>
      </c>
      <c r="P38" s="10">
        <f t="shared" si="0"/>
        <v>66.166666666666671</v>
      </c>
    </row>
    <row r="39" spans="2:16" x14ac:dyDescent="0.25">
      <c r="B39" s="6">
        <f t="shared" si="1"/>
        <v>31</v>
      </c>
      <c r="C39" s="6" t="s">
        <v>179</v>
      </c>
      <c r="D39" s="38" t="s">
        <v>74</v>
      </c>
      <c r="E39" s="38" t="s">
        <v>74</v>
      </c>
      <c r="F39" s="38" t="s">
        <v>74</v>
      </c>
      <c r="G39" s="38" t="s">
        <v>74</v>
      </c>
      <c r="H39" s="38" t="s">
        <v>74</v>
      </c>
      <c r="I39" s="38" t="s">
        <v>74</v>
      </c>
      <c r="J39" s="4">
        <f>30+30+28</f>
        <v>88</v>
      </c>
      <c r="K39" s="4">
        <v>98</v>
      </c>
      <c r="L39" s="4">
        <f>40+27+27</f>
        <v>94</v>
      </c>
      <c r="M39" s="22">
        <v>0</v>
      </c>
      <c r="N39" s="4">
        <v>0</v>
      </c>
      <c r="O39" s="4">
        <v>0</v>
      </c>
      <c r="P39" s="10">
        <f t="shared" si="0"/>
        <v>46.666666666666664</v>
      </c>
    </row>
    <row r="40" spans="2:16" x14ac:dyDescent="0.25">
      <c r="B40" s="6">
        <f t="shared" si="1"/>
        <v>32</v>
      </c>
      <c r="C40" s="6" t="s">
        <v>157</v>
      </c>
      <c r="D40" s="38" t="s">
        <v>75</v>
      </c>
      <c r="E40" s="38" t="s">
        <v>75</v>
      </c>
      <c r="F40" s="38" t="s">
        <v>75</v>
      </c>
      <c r="G40" s="38" t="s">
        <v>75</v>
      </c>
      <c r="H40" s="38" t="s">
        <v>75</v>
      </c>
      <c r="I40" s="38" t="s">
        <v>75</v>
      </c>
      <c r="J40" s="4">
        <f>30+40+30</f>
        <v>100</v>
      </c>
      <c r="K40" s="4">
        <v>98</v>
      </c>
      <c r="L40" s="4">
        <f>30+30+40</f>
        <v>100</v>
      </c>
      <c r="M40" s="4">
        <v>100</v>
      </c>
      <c r="N40" s="4">
        <v>0</v>
      </c>
      <c r="O40" s="4">
        <v>0</v>
      </c>
      <c r="P40" s="10">
        <f t="shared" si="0"/>
        <v>66.333333333333329</v>
      </c>
    </row>
    <row r="41" spans="2:16" x14ac:dyDescent="0.25">
      <c r="B41" s="6">
        <f t="shared" si="1"/>
        <v>33</v>
      </c>
      <c r="C41" s="6" t="s">
        <v>183</v>
      </c>
      <c r="D41" s="38" t="s">
        <v>76</v>
      </c>
      <c r="E41" s="38" t="s">
        <v>76</v>
      </c>
      <c r="F41" s="38" t="s">
        <v>76</v>
      </c>
      <c r="G41" s="38" t="s">
        <v>76</v>
      </c>
      <c r="H41" s="38" t="s">
        <v>76</v>
      </c>
      <c r="I41" s="38" t="s">
        <v>76</v>
      </c>
      <c r="J41" s="4">
        <f>36+28+23</f>
        <v>87</v>
      </c>
      <c r="K41" s="4">
        <f>29+20+25</f>
        <v>74</v>
      </c>
      <c r="L41" s="4">
        <v>0</v>
      </c>
      <c r="M41" s="4">
        <v>85</v>
      </c>
      <c r="N41" s="4">
        <v>0</v>
      </c>
      <c r="O41" s="4">
        <v>0</v>
      </c>
      <c r="P41" s="10">
        <f t="shared" si="0"/>
        <v>41</v>
      </c>
    </row>
    <row r="42" spans="2:16" x14ac:dyDescent="0.25">
      <c r="B42" s="6">
        <f t="shared" si="1"/>
        <v>34</v>
      </c>
      <c r="C42" s="6" t="s">
        <v>182</v>
      </c>
      <c r="D42" s="38" t="s">
        <v>260</v>
      </c>
      <c r="E42" s="38" t="s">
        <v>77</v>
      </c>
      <c r="F42" s="38" t="s">
        <v>77</v>
      </c>
      <c r="G42" s="38" t="s">
        <v>77</v>
      </c>
      <c r="H42" s="38" t="s">
        <v>77</v>
      </c>
      <c r="I42" s="38" t="s">
        <v>77</v>
      </c>
      <c r="J42" s="4">
        <f>30+27+33</f>
        <v>90</v>
      </c>
      <c r="K42" s="4">
        <v>96</v>
      </c>
      <c r="L42" s="4">
        <f>29+29+40</f>
        <v>98</v>
      </c>
      <c r="M42" s="4">
        <v>95</v>
      </c>
      <c r="N42" s="4">
        <v>0</v>
      </c>
      <c r="O42" s="4">
        <v>0</v>
      </c>
      <c r="P42" s="10">
        <f t="shared" si="0"/>
        <v>63.166666666666664</v>
      </c>
    </row>
    <row r="43" spans="2:16" x14ac:dyDescent="0.25">
      <c r="B43" s="6">
        <f t="shared" si="1"/>
        <v>35</v>
      </c>
      <c r="C43" s="6" t="s">
        <v>180</v>
      </c>
      <c r="D43" s="38" t="s">
        <v>78</v>
      </c>
      <c r="E43" s="38" t="s">
        <v>78</v>
      </c>
      <c r="F43" s="38" t="s">
        <v>78</v>
      </c>
      <c r="G43" s="38" t="s">
        <v>78</v>
      </c>
      <c r="H43" s="38" t="s">
        <v>78</v>
      </c>
      <c r="I43" s="38" t="s">
        <v>78</v>
      </c>
      <c r="J43" s="4">
        <f>40+30+30</f>
        <v>100</v>
      </c>
      <c r="K43" s="4">
        <v>100</v>
      </c>
      <c r="L43" s="4">
        <v>100</v>
      </c>
      <c r="M43" s="4">
        <v>100</v>
      </c>
      <c r="N43" s="4">
        <v>0</v>
      </c>
      <c r="O43" s="4">
        <v>0</v>
      </c>
      <c r="P43" s="10">
        <f t="shared" si="0"/>
        <v>66.666666666666671</v>
      </c>
    </row>
    <row r="44" spans="2:16" x14ac:dyDescent="0.25">
      <c r="B44" s="6">
        <f t="shared" si="1"/>
        <v>36</v>
      </c>
      <c r="C44" s="6" t="s">
        <v>155</v>
      </c>
      <c r="D44" s="38" t="s">
        <v>79</v>
      </c>
      <c r="E44" s="38" t="s">
        <v>79</v>
      </c>
      <c r="F44" s="38" t="s">
        <v>79</v>
      </c>
      <c r="G44" s="38" t="s">
        <v>79</v>
      </c>
      <c r="H44" s="38" t="s">
        <v>79</v>
      </c>
      <c r="I44" s="38" t="s">
        <v>79</v>
      </c>
      <c r="J44" s="4">
        <f>18+30+30</f>
        <v>78</v>
      </c>
      <c r="K44" s="4">
        <v>93</v>
      </c>
      <c r="L44" s="4">
        <f>40+30+27</f>
        <v>97</v>
      </c>
      <c r="M44" s="4">
        <v>98</v>
      </c>
      <c r="N44" s="4">
        <v>0</v>
      </c>
      <c r="O44" s="4">
        <v>0</v>
      </c>
      <c r="P44" s="10">
        <f t="shared" si="0"/>
        <v>61</v>
      </c>
    </row>
    <row r="45" spans="2:16" x14ac:dyDescent="0.25">
      <c r="B45" s="6">
        <f t="shared" si="1"/>
        <v>37</v>
      </c>
      <c r="C45" s="6" t="s">
        <v>181</v>
      </c>
      <c r="D45" s="38" t="s">
        <v>80</v>
      </c>
      <c r="E45" s="38" t="s">
        <v>80</v>
      </c>
      <c r="F45" s="38" t="s">
        <v>80</v>
      </c>
      <c r="G45" s="38" t="s">
        <v>80</v>
      </c>
      <c r="H45" s="38" t="s">
        <v>80</v>
      </c>
      <c r="I45" s="38" t="s">
        <v>80</v>
      </c>
      <c r="J45" s="4">
        <f>15+30+25</f>
        <v>70</v>
      </c>
      <c r="K45" s="4">
        <f>20+28+30</f>
        <v>78</v>
      </c>
      <c r="L45" s="4">
        <f>25+25+38</f>
        <v>88</v>
      </c>
      <c r="M45" s="4">
        <f>25+27+30</f>
        <v>82</v>
      </c>
      <c r="N45" s="4">
        <v>0</v>
      </c>
      <c r="O45" s="4">
        <v>0</v>
      </c>
      <c r="P45" s="10">
        <f t="shared" si="0"/>
        <v>53</v>
      </c>
    </row>
    <row r="46" spans="2:16" x14ac:dyDescent="0.25">
      <c r="B46" s="6">
        <f t="shared" si="1"/>
        <v>38</v>
      </c>
      <c r="C46" s="6" t="s">
        <v>156</v>
      </c>
      <c r="D46" s="38" t="s">
        <v>81</v>
      </c>
      <c r="E46" s="38" t="s">
        <v>81</v>
      </c>
      <c r="F46" s="38" t="s">
        <v>81</v>
      </c>
      <c r="G46" s="38" t="s">
        <v>81</v>
      </c>
      <c r="H46" s="38" t="s">
        <v>81</v>
      </c>
      <c r="I46" s="38" t="s">
        <v>81</v>
      </c>
      <c r="J46" s="4">
        <f>36+30+28</f>
        <v>94</v>
      </c>
      <c r="K46" s="4">
        <v>96</v>
      </c>
      <c r="L46" s="4">
        <f>30+30+38</f>
        <v>98</v>
      </c>
      <c r="M46" s="4">
        <v>99</v>
      </c>
      <c r="N46" s="4">
        <v>0</v>
      </c>
      <c r="O46" s="4">
        <v>0</v>
      </c>
      <c r="P46" s="10">
        <f t="shared" si="0"/>
        <v>64.5</v>
      </c>
    </row>
    <row r="47" spans="2:16" x14ac:dyDescent="0.25">
      <c r="B47" s="6">
        <f t="shared" si="1"/>
        <v>39</v>
      </c>
      <c r="C47" s="7"/>
      <c r="D47" s="38"/>
      <c r="E47" s="38"/>
      <c r="F47" s="38"/>
      <c r="G47" s="38"/>
      <c r="H47" s="38"/>
      <c r="I47" s="38"/>
      <c r="J47" s="4"/>
      <c r="K47" s="4"/>
      <c r="L47" s="4"/>
      <c r="M47" s="4"/>
      <c r="N47" s="4"/>
      <c r="O47" s="4"/>
      <c r="P47" s="10">
        <f t="shared" ref="P47:P55" si="2">SUM(J47:O47)/7</f>
        <v>0</v>
      </c>
    </row>
    <row r="48" spans="2:16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10">
        <f t="shared" si="2"/>
        <v>0</v>
      </c>
    </row>
    <row r="54" spans="2:16" x14ac:dyDescent="0.25">
      <c r="B54" s="6">
        <f t="shared" si="1"/>
        <v>46</v>
      </c>
      <c r="C54" s="7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10">
        <f t="shared" si="2"/>
        <v>0</v>
      </c>
    </row>
    <row r="55" spans="2:16" x14ac:dyDescent="0.25">
      <c r="B55" s="6">
        <f t="shared" si="1"/>
        <v>47</v>
      </c>
      <c r="C55" s="3"/>
      <c r="D55" s="41"/>
      <c r="E55" s="42"/>
      <c r="F55" s="42"/>
      <c r="G55" s="42"/>
      <c r="H55" s="42"/>
      <c r="I55" s="43"/>
      <c r="J55" s="3"/>
      <c r="K55" s="3"/>
      <c r="L55" s="3"/>
      <c r="M55" s="3"/>
      <c r="N55" s="3"/>
      <c r="O55" s="3"/>
      <c r="P55" s="10">
        <f t="shared" si="2"/>
        <v>0</v>
      </c>
    </row>
    <row r="56" spans="2:16" x14ac:dyDescent="0.25">
      <c r="C56" s="27"/>
      <c r="D56" s="27"/>
      <c r="E56" s="1"/>
      <c r="H56" s="30" t="s">
        <v>19</v>
      </c>
      <c r="I56" s="30"/>
      <c r="J56" s="11">
        <f>COUNTIF(J9:J55,"&gt;=70")</f>
        <v>38</v>
      </c>
      <c r="K56" s="11">
        <f t="shared" ref="K56:O56" si="3">COUNTIF(K9:K55,"&gt;=70")</f>
        <v>37</v>
      </c>
      <c r="L56" s="11">
        <f t="shared" si="3"/>
        <v>34</v>
      </c>
      <c r="M56" s="11">
        <f t="shared" si="3"/>
        <v>36</v>
      </c>
      <c r="N56" s="11">
        <f t="shared" si="3"/>
        <v>0</v>
      </c>
      <c r="O56" s="11">
        <f t="shared" si="3"/>
        <v>0</v>
      </c>
      <c r="P56" s="15">
        <f t="shared" ref="P56" si="4">COUNTIF(P9:P50,"&gt;=70")</f>
        <v>0</v>
      </c>
    </row>
    <row r="57" spans="2:16" x14ac:dyDescent="0.25">
      <c r="C57" s="27"/>
      <c r="D57" s="27"/>
      <c r="E57" s="8"/>
      <c r="H57" s="31" t="s">
        <v>20</v>
      </c>
      <c r="I57" s="31"/>
      <c r="J57" s="12">
        <f>COUNTIF(J9:J55,"&lt;70")</f>
        <v>0</v>
      </c>
      <c r="K57" s="12">
        <f t="shared" ref="K57:P57" si="5">COUNTIF(K9:K55,"&lt;70")</f>
        <v>1</v>
      </c>
      <c r="L57" s="12">
        <f t="shared" si="5"/>
        <v>4</v>
      </c>
      <c r="M57" s="12">
        <f t="shared" si="5"/>
        <v>2</v>
      </c>
      <c r="N57" s="12">
        <f t="shared" si="5"/>
        <v>38</v>
      </c>
      <c r="O57" s="12">
        <f t="shared" si="5"/>
        <v>38</v>
      </c>
      <c r="P57" s="12">
        <f t="shared" si="5"/>
        <v>45</v>
      </c>
    </row>
    <row r="58" spans="2:16" x14ac:dyDescent="0.25">
      <c r="C58" s="27"/>
      <c r="D58" s="27"/>
      <c r="E58" s="27"/>
      <c r="H58" s="31" t="s">
        <v>21</v>
      </c>
      <c r="I58" s="31"/>
      <c r="J58" s="12">
        <f>COUNT(J9:J55)</f>
        <v>38</v>
      </c>
      <c r="K58" s="12">
        <f t="shared" ref="K58:P58" si="6">COUNT(K9:K55)</f>
        <v>38</v>
      </c>
      <c r="L58" s="12">
        <f t="shared" si="6"/>
        <v>38</v>
      </c>
      <c r="M58" s="12">
        <f t="shared" si="6"/>
        <v>38</v>
      </c>
      <c r="N58" s="12">
        <f t="shared" si="6"/>
        <v>38</v>
      </c>
      <c r="O58" s="12">
        <f t="shared" si="6"/>
        <v>38</v>
      </c>
      <c r="P58" s="12">
        <f t="shared" si="6"/>
        <v>45</v>
      </c>
    </row>
    <row r="59" spans="2:16" x14ac:dyDescent="0.25">
      <c r="C59" s="27"/>
      <c r="D59" s="27"/>
      <c r="E59" s="1"/>
      <c r="H59" s="32" t="s">
        <v>16</v>
      </c>
      <c r="I59" s="32"/>
      <c r="J59" s="13">
        <f>J56/J58</f>
        <v>1</v>
      </c>
      <c r="K59" s="14">
        <f t="shared" ref="K59:P59" si="7">K56/K58</f>
        <v>0.97368421052631582</v>
      </c>
      <c r="L59" s="14">
        <f t="shared" si="7"/>
        <v>0.89473684210526316</v>
      </c>
      <c r="M59" s="14">
        <f t="shared" si="7"/>
        <v>0.94736842105263153</v>
      </c>
      <c r="N59" s="14">
        <f t="shared" si="7"/>
        <v>0</v>
      </c>
      <c r="O59" s="14">
        <f t="shared" si="7"/>
        <v>0</v>
      </c>
      <c r="P59" s="14">
        <f t="shared" si="7"/>
        <v>0</v>
      </c>
    </row>
    <row r="60" spans="2:16" x14ac:dyDescent="0.25">
      <c r="C60" s="27"/>
      <c r="D60" s="27"/>
      <c r="E60" s="1"/>
      <c r="H60" s="32" t="s">
        <v>17</v>
      </c>
      <c r="I60" s="32"/>
      <c r="J60" s="13">
        <f>J57/J58</f>
        <v>0</v>
      </c>
      <c r="K60" s="13">
        <f t="shared" ref="K60:P60" si="8">K57/K58</f>
        <v>2.6315789473684209E-2</v>
      </c>
      <c r="L60" s="14">
        <f t="shared" si="8"/>
        <v>0.10526315789473684</v>
      </c>
      <c r="M60" s="14">
        <f t="shared" si="8"/>
        <v>5.2631578947368418E-2</v>
      </c>
      <c r="N60" s="14">
        <f t="shared" si="8"/>
        <v>1</v>
      </c>
      <c r="O60" s="14">
        <f t="shared" si="8"/>
        <v>1</v>
      </c>
      <c r="P60" s="14">
        <f t="shared" si="8"/>
        <v>1</v>
      </c>
    </row>
    <row r="61" spans="2:16" x14ac:dyDescent="0.25">
      <c r="C61" s="27"/>
      <c r="D61" s="27"/>
      <c r="E61" s="8"/>
    </row>
    <row r="62" spans="2:16" x14ac:dyDescent="0.25">
      <c r="C62" s="1"/>
      <c r="D62" s="1"/>
      <c r="E62" s="8"/>
    </row>
    <row r="63" spans="2:16" x14ac:dyDescent="0.25">
      <c r="J63" s="33"/>
      <c r="K63" s="33"/>
      <c r="L63" s="33"/>
      <c r="M63" s="33"/>
      <c r="N63" s="33"/>
      <c r="O63" s="33"/>
    </row>
    <row r="64" spans="2:16" x14ac:dyDescent="0.25">
      <c r="J64" s="26" t="s">
        <v>18</v>
      </c>
      <c r="K64" s="26"/>
      <c r="L64" s="26"/>
      <c r="M64" s="26"/>
      <c r="N64" s="26"/>
      <c r="O64" s="26"/>
    </row>
  </sheetData>
  <mergeCells count="69">
    <mergeCell ref="C60:D60"/>
    <mergeCell ref="H60:I60"/>
    <mergeCell ref="C61:D61"/>
    <mergeCell ref="J63:O63"/>
    <mergeCell ref="J64:O64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26:I26"/>
    <mergeCell ref="D27:I27"/>
    <mergeCell ref="D28:I28"/>
    <mergeCell ref="D29:I29"/>
    <mergeCell ref="D30:I30"/>
    <mergeCell ref="D31:I31"/>
    <mergeCell ref="D32:I32"/>
    <mergeCell ref="D34:I34"/>
    <mergeCell ref="D36:I36"/>
    <mergeCell ref="D37:I37"/>
    <mergeCell ref="D38:I38"/>
    <mergeCell ref="D33:I33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topLeftCell="B43" zoomScale="110" zoomScaleNormal="110" workbookViewId="0">
      <selection activeCell="L32" sqref="L32"/>
    </sheetView>
  </sheetViews>
  <sheetFormatPr baseColWidth="10" defaultRowHeight="15" x14ac:dyDescent="0.25"/>
  <cols>
    <col min="1" max="1" width="5.85546875" customWidth="1"/>
    <col min="2" max="2" width="10.85546875" customWidth="1"/>
    <col min="3" max="8" width="7.710937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1:17" ht="15.75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1:17" x14ac:dyDescent="0.25">
      <c r="B3" s="29" t="s">
        <v>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1:17" x14ac:dyDescent="0.25">
      <c r="B4" t="s">
        <v>0</v>
      </c>
      <c r="C4" s="34" t="s">
        <v>110</v>
      </c>
      <c r="D4" s="34"/>
      <c r="E4" s="34"/>
      <c r="F4" s="34"/>
      <c r="H4" t="s">
        <v>1</v>
      </c>
      <c r="I4" s="36" t="s">
        <v>134</v>
      </c>
      <c r="J4" s="36"/>
      <c r="L4" t="s">
        <v>2</v>
      </c>
      <c r="M4" s="35">
        <v>45096</v>
      </c>
      <c r="N4" s="35"/>
    </row>
    <row r="5" spans="1:17" ht="6.75" customHeight="1" x14ac:dyDescent="0.25">
      <c r="C5" s="5"/>
      <c r="D5" s="5"/>
      <c r="E5" s="5"/>
      <c r="F5" s="5"/>
    </row>
    <row r="6" spans="1:17" x14ac:dyDescent="0.25">
      <c r="B6" t="s">
        <v>3</v>
      </c>
      <c r="C6" s="36" t="s">
        <v>245</v>
      </c>
      <c r="D6" s="36"/>
      <c r="E6" s="36"/>
      <c r="F6" s="36"/>
      <c r="H6" s="27" t="s">
        <v>22</v>
      </c>
      <c r="I6" s="27"/>
      <c r="J6" s="28" t="s">
        <v>83</v>
      </c>
      <c r="K6" s="28"/>
      <c r="L6" s="28"/>
      <c r="M6" s="28"/>
      <c r="N6" s="28"/>
      <c r="O6" s="28"/>
    </row>
    <row r="7" spans="1:17" ht="11.25" customHeight="1" x14ac:dyDescent="0.25"/>
    <row r="8" spans="1:17" x14ac:dyDescent="0.25">
      <c r="B8" s="3" t="s">
        <v>6</v>
      </c>
      <c r="C8" s="37" t="s">
        <v>5</v>
      </c>
      <c r="D8" s="37"/>
      <c r="E8" s="37"/>
      <c r="F8" s="37"/>
      <c r="G8" s="37"/>
      <c r="H8" s="37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7" x14ac:dyDescent="0.25">
      <c r="A9">
        <v>1</v>
      </c>
      <c r="B9" s="6" t="s">
        <v>218</v>
      </c>
      <c r="C9" s="38" t="s">
        <v>238</v>
      </c>
      <c r="D9" s="38" t="s">
        <v>111</v>
      </c>
      <c r="E9" s="38" t="s">
        <v>111</v>
      </c>
      <c r="F9" s="38" t="s">
        <v>111</v>
      </c>
      <c r="G9" s="38" t="s">
        <v>111</v>
      </c>
      <c r="H9" s="38" t="s">
        <v>111</v>
      </c>
      <c r="I9" s="4">
        <v>80</v>
      </c>
      <c r="J9" s="4">
        <v>90</v>
      </c>
      <c r="K9" s="25">
        <v>0</v>
      </c>
      <c r="L9" s="4">
        <v>0</v>
      </c>
      <c r="M9" s="4">
        <v>0</v>
      </c>
      <c r="N9" s="4">
        <v>0</v>
      </c>
      <c r="O9" s="4">
        <v>0</v>
      </c>
      <c r="P9" s="10">
        <f>SUM(I9:O9)/7</f>
        <v>24.285714285714285</v>
      </c>
    </row>
    <row r="10" spans="1:17" x14ac:dyDescent="0.25">
      <c r="A10">
        <f>A9+1</f>
        <v>2</v>
      </c>
      <c r="B10" s="6" t="s">
        <v>217</v>
      </c>
      <c r="C10" s="38" t="s">
        <v>113</v>
      </c>
      <c r="D10" s="38" t="s">
        <v>112</v>
      </c>
      <c r="E10" s="38" t="s">
        <v>112</v>
      </c>
      <c r="F10" s="38" t="s">
        <v>112</v>
      </c>
      <c r="G10" s="38" t="s">
        <v>112</v>
      </c>
      <c r="H10" s="38" t="s">
        <v>112</v>
      </c>
      <c r="I10" s="4">
        <v>75</v>
      </c>
      <c r="J10" s="22">
        <v>0</v>
      </c>
      <c r="K10" s="4">
        <v>90</v>
      </c>
      <c r="L10" s="4">
        <v>82</v>
      </c>
      <c r="M10" s="4">
        <v>0</v>
      </c>
      <c r="N10" s="4">
        <v>0</v>
      </c>
      <c r="O10" s="4">
        <v>0</v>
      </c>
      <c r="P10" s="10">
        <f t="shared" ref="P10:P49" si="0">SUM(I10:O10)/7</f>
        <v>35.285714285714285</v>
      </c>
    </row>
    <row r="11" spans="1:17" x14ac:dyDescent="0.25">
      <c r="A11">
        <f t="shared" ref="A11:A31" si="1">A10+1</f>
        <v>3</v>
      </c>
      <c r="B11" s="6" t="s">
        <v>219</v>
      </c>
      <c r="C11" s="38" t="s">
        <v>111</v>
      </c>
      <c r="D11" s="38" t="s">
        <v>113</v>
      </c>
      <c r="E11" s="38" t="s">
        <v>113</v>
      </c>
      <c r="F11" s="38" t="s">
        <v>113</v>
      </c>
      <c r="G11" s="38" t="s">
        <v>113</v>
      </c>
      <c r="H11" s="38" t="s">
        <v>113</v>
      </c>
      <c r="I11" s="4">
        <v>85</v>
      </c>
      <c r="J11" s="22">
        <v>0</v>
      </c>
      <c r="K11" s="4">
        <v>95</v>
      </c>
      <c r="L11" s="4">
        <v>94</v>
      </c>
      <c r="M11" s="4">
        <v>0</v>
      </c>
      <c r="N11" s="4">
        <v>0</v>
      </c>
      <c r="O11" s="4">
        <v>0</v>
      </c>
      <c r="P11" s="10">
        <f t="shared" si="0"/>
        <v>39.142857142857146</v>
      </c>
    </row>
    <row r="12" spans="1:17" x14ac:dyDescent="0.25">
      <c r="A12">
        <f t="shared" si="1"/>
        <v>4</v>
      </c>
      <c r="B12" s="6" t="s">
        <v>194</v>
      </c>
      <c r="C12" s="38" t="s">
        <v>114</v>
      </c>
      <c r="D12" s="38" t="s">
        <v>114</v>
      </c>
      <c r="E12" s="38" t="s">
        <v>114</v>
      </c>
      <c r="F12" s="38" t="s">
        <v>114</v>
      </c>
      <c r="G12" s="38" t="s">
        <v>114</v>
      </c>
      <c r="H12" s="38" t="s">
        <v>114</v>
      </c>
      <c r="I12" s="4">
        <v>70</v>
      </c>
      <c r="J12" s="4">
        <v>78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31.142857142857142</v>
      </c>
    </row>
    <row r="13" spans="1:17" x14ac:dyDescent="0.25">
      <c r="A13">
        <f t="shared" si="1"/>
        <v>5</v>
      </c>
      <c r="B13" s="6" t="s">
        <v>220</v>
      </c>
      <c r="C13" s="38" t="s">
        <v>115</v>
      </c>
      <c r="D13" s="38" t="s">
        <v>115</v>
      </c>
      <c r="E13" s="38" t="s">
        <v>115</v>
      </c>
      <c r="F13" s="38" t="s">
        <v>115</v>
      </c>
      <c r="G13" s="38" t="s">
        <v>115</v>
      </c>
      <c r="H13" s="38" t="s">
        <v>115</v>
      </c>
      <c r="I13" s="4">
        <v>90</v>
      </c>
      <c r="J13" s="4">
        <v>90</v>
      </c>
      <c r="K13" s="4">
        <v>94</v>
      </c>
      <c r="L13" s="4">
        <v>90</v>
      </c>
      <c r="M13" s="4">
        <v>0</v>
      </c>
      <c r="N13" s="4">
        <v>0</v>
      </c>
      <c r="O13" s="4">
        <v>0</v>
      </c>
      <c r="P13" s="10">
        <f t="shared" si="0"/>
        <v>52</v>
      </c>
    </row>
    <row r="14" spans="1:17" x14ac:dyDescent="0.25">
      <c r="A14">
        <f t="shared" si="1"/>
        <v>6</v>
      </c>
      <c r="B14" s="6" t="s">
        <v>221</v>
      </c>
      <c r="C14" s="38" t="s">
        <v>116</v>
      </c>
      <c r="D14" s="38" t="s">
        <v>116</v>
      </c>
      <c r="E14" s="38" t="s">
        <v>116</v>
      </c>
      <c r="F14" s="38" t="s">
        <v>116</v>
      </c>
      <c r="G14" s="38" t="s">
        <v>116</v>
      </c>
      <c r="H14" s="38" t="s">
        <v>116</v>
      </c>
      <c r="I14" s="4">
        <v>92</v>
      </c>
      <c r="J14" s="4">
        <v>95</v>
      </c>
      <c r="K14" s="4">
        <v>85</v>
      </c>
      <c r="L14" s="4">
        <v>92</v>
      </c>
      <c r="M14" s="4">
        <v>0</v>
      </c>
      <c r="N14" s="4">
        <v>0</v>
      </c>
      <c r="O14" s="4">
        <v>0</v>
      </c>
      <c r="P14" s="10">
        <f t="shared" si="0"/>
        <v>52</v>
      </c>
    </row>
    <row r="15" spans="1:17" x14ac:dyDescent="0.25">
      <c r="A15">
        <f t="shared" si="1"/>
        <v>7</v>
      </c>
      <c r="B15" s="6" t="s">
        <v>222</v>
      </c>
      <c r="C15" s="38" t="s">
        <v>117</v>
      </c>
      <c r="D15" s="38" t="s">
        <v>117</v>
      </c>
      <c r="E15" s="38" t="s">
        <v>117</v>
      </c>
      <c r="F15" s="38" t="s">
        <v>117</v>
      </c>
      <c r="G15" s="38" t="s">
        <v>117</v>
      </c>
      <c r="H15" s="38" t="s">
        <v>117</v>
      </c>
      <c r="I15" s="4">
        <v>88</v>
      </c>
      <c r="J15" s="4">
        <v>87</v>
      </c>
      <c r="K15" s="4">
        <v>96</v>
      </c>
      <c r="L15" s="4">
        <v>90</v>
      </c>
      <c r="M15" s="4">
        <v>0</v>
      </c>
      <c r="N15" s="4">
        <v>0</v>
      </c>
      <c r="O15" s="4">
        <v>0</v>
      </c>
      <c r="P15" s="10">
        <f t="shared" si="0"/>
        <v>51.571428571428569</v>
      </c>
    </row>
    <row r="16" spans="1:17" x14ac:dyDescent="0.25">
      <c r="A16">
        <f t="shared" si="1"/>
        <v>8</v>
      </c>
      <c r="B16" s="6" t="s">
        <v>253</v>
      </c>
      <c r="C16" s="38" t="s">
        <v>118</v>
      </c>
      <c r="D16" s="38" t="s">
        <v>118</v>
      </c>
      <c r="E16" s="38" t="s">
        <v>118</v>
      </c>
      <c r="F16" s="38" t="s">
        <v>118</v>
      </c>
      <c r="G16" s="38" t="s">
        <v>118</v>
      </c>
      <c r="H16" s="38" t="s">
        <v>118</v>
      </c>
      <c r="I16" s="4">
        <v>80</v>
      </c>
      <c r="J16" s="22">
        <v>0</v>
      </c>
      <c r="K16" s="4">
        <v>84</v>
      </c>
      <c r="L16" s="4">
        <v>90</v>
      </c>
      <c r="M16" s="4">
        <v>0</v>
      </c>
      <c r="N16" s="4">
        <v>0</v>
      </c>
      <c r="O16" s="4">
        <v>0</v>
      </c>
      <c r="P16" s="10">
        <f t="shared" si="0"/>
        <v>36.285714285714285</v>
      </c>
    </row>
    <row r="17" spans="1:16" x14ac:dyDescent="0.25">
      <c r="A17">
        <f t="shared" si="1"/>
        <v>9</v>
      </c>
      <c r="B17" s="6" t="s">
        <v>223</v>
      </c>
      <c r="C17" s="38" t="s">
        <v>119</v>
      </c>
      <c r="D17" s="38" t="s">
        <v>119</v>
      </c>
      <c r="E17" s="38" t="s">
        <v>119</v>
      </c>
      <c r="F17" s="38" t="s">
        <v>119</v>
      </c>
      <c r="G17" s="38" t="s">
        <v>119</v>
      </c>
      <c r="H17" s="38" t="s">
        <v>119</v>
      </c>
      <c r="I17" s="4">
        <v>82</v>
      </c>
      <c r="J17" s="22">
        <v>90</v>
      </c>
      <c r="K17" s="4">
        <v>96</v>
      </c>
      <c r="L17" s="4">
        <v>94</v>
      </c>
      <c r="M17" s="4">
        <v>0</v>
      </c>
      <c r="N17" s="4">
        <v>0</v>
      </c>
      <c r="O17" s="4">
        <v>0</v>
      </c>
      <c r="P17" s="10">
        <f t="shared" si="0"/>
        <v>51.714285714285715</v>
      </c>
    </row>
    <row r="18" spans="1:16" x14ac:dyDescent="0.25">
      <c r="A18">
        <f t="shared" si="1"/>
        <v>10</v>
      </c>
      <c r="B18" s="6" t="s">
        <v>224</v>
      </c>
      <c r="C18" s="38" t="s">
        <v>137</v>
      </c>
      <c r="D18" s="38" t="s">
        <v>120</v>
      </c>
      <c r="E18" s="38" t="s">
        <v>120</v>
      </c>
      <c r="F18" s="38" t="s">
        <v>120</v>
      </c>
      <c r="G18" s="38" t="s">
        <v>120</v>
      </c>
      <c r="H18" s="38" t="s">
        <v>120</v>
      </c>
      <c r="I18" s="4">
        <v>90</v>
      </c>
      <c r="J18" s="22">
        <v>78</v>
      </c>
      <c r="K18" s="4">
        <v>80</v>
      </c>
      <c r="L18" s="4">
        <v>85</v>
      </c>
      <c r="M18" s="4">
        <v>0</v>
      </c>
      <c r="N18" s="4">
        <v>0</v>
      </c>
      <c r="O18" s="4">
        <v>0</v>
      </c>
      <c r="P18" s="10">
        <f t="shared" si="0"/>
        <v>47.571428571428569</v>
      </c>
    </row>
    <row r="19" spans="1:16" x14ac:dyDescent="0.25">
      <c r="A19">
        <f t="shared" si="1"/>
        <v>11</v>
      </c>
      <c r="B19" s="6" t="s">
        <v>225</v>
      </c>
      <c r="C19" s="38" t="s">
        <v>121</v>
      </c>
      <c r="D19" s="38" t="s">
        <v>121</v>
      </c>
      <c r="E19" s="38" t="s">
        <v>121</v>
      </c>
      <c r="F19" s="38" t="s">
        <v>121</v>
      </c>
      <c r="G19" s="38" t="s">
        <v>121</v>
      </c>
      <c r="H19" s="38" t="s">
        <v>121</v>
      </c>
      <c r="I19" s="4">
        <v>88</v>
      </c>
      <c r="J19" s="4">
        <v>94</v>
      </c>
      <c r="K19" s="4">
        <v>93</v>
      </c>
      <c r="L19" s="4">
        <v>92</v>
      </c>
      <c r="M19" s="4">
        <v>0</v>
      </c>
      <c r="N19" s="4">
        <v>0</v>
      </c>
      <c r="O19" s="4">
        <v>0</v>
      </c>
      <c r="P19" s="10">
        <f t="shared" si="0"/>
        <v>52.428571428571431</v>
      </c>
    </row>
    <row r="20" spans="1:16" x14ac:dyDescent="0.25">
      <c r="A20">
        <f t="shared" si="1"/>
        <v>12</v>
      </c>
      <c r="B20" s="6" t="s">
        <v>234</v>
      </c>
      <c r="C20" s="38" t="s">
        <v>256</v>
      </c>
      <c r="D20" s="38"/>
      <c r="E20" s="38"/>
      <c r="F20" s="38"/>
      <c r="G20" s="38"/>
      <c r="H20" s="38"/>
      <c r="I20" s="4">
        <v>75</v>
      </c>
      <c r="J20" s="4">
        <v>92</v>
      </c>
      <c r="K20" s="4">
        <v>96</v>
      </c>
      <c r="L20" s="4">
        <v>93</v>
      </c>
      <c r="M20" s="4">
        <v>0</v>
      </c>
      <c r="N20" s="4">
        <v>0</v>
      </c>
      <c r="O20" s="4">
        <v>0</v>
      </c>
      <c r="P20" s="10">
        <f t="shared" si="0"/>
        <v>50.857142857142854</v>
      </c>
    </row>
    <row r="21" spans="1:16" x14ac:dyDescent="0.25">
      <c r="A21">
        <f t="shared" si="1"/>
        <v>13</v>
      </c>
      <c r="B21" s="6" t="s">
        <v>226</v>
      </c>
      <c r="C21" s="38" t="s">
        <v>122</v>
      </c>
      <c r="D21" s="38" t="s">
        <v>122</v>
      </c>
      <c r="E21" s="38" t="s">
        <v>122</v>
      </c>
      <c r="F21" s="38" t="s">
        <v>122</v>
      </c>
      <c r="G21" s="38" t="s">
        <v>122</v>
      </c>
      <c r="H21" s="38" t="s">
        <v>122</v>
      </c>
      <c r="I21" s="4">
        <v>86</v>
      </c>
      <c r="J21" s="4">
        <v>89</v>
      </c>
      <c r="K21" s="4">
        <v>87</v>
      </c>
      <c r="L21" s="4">
        <v>86</v>
      </c>
      <c r="M21" s="4">
        <v>0</v>
      </c>
      <c r="N21" s="4">
        <v>0</v>
      </c>
      <c r="O21" s="4">
        <v>0</v>
      </c>
      <c r="P21" s="10">
        <f t="shared" si="0"/>
        <v>49.714285714285715</v>
      </c>
    </row>
    <row r="22" spans="1:16" x14ac:dyDescent="0.25">
      <c r="A22">
        <f t="shared" si="1"/>
        <v>14</v>
      </c>
      <c r="B22" s="6" t="s">
        <v>227</v>
      </c>
      <c r="C22" s="38" t="s">
        <v>123</v>
      </c>
      <c r="D22" s="38" t="s">
        <v>123</v>
      </c>
      <c r="E22" s="38" t="s">
        <v>123</v>
      </c>
      <c r="F22" s="38" t="s">
        <v>123</v>
      </c>
      <c r="G22" s="38" t="s">
        <v>123</v>
      </c>
      <c r="H22" s="38" t="s">
        <v>123</v>
      </c>
      <c r="I22" s="4">
        <v>92</v>
      </c>
      <c r="J22" s="4">
        <v>88</v>
      </c>
      <c r="K22" s="4">
        <v>96</v>
      </c>
      <c r="L22" s="4">
        <v>95</v>
      </c>
      <c r="M22" s="4">
        <v>0</v>
      </c>
      <c r="N22" s="4">
        <v>0</v>
      </c>
      <c r="O22" s="4">
        <v>0</v>
      </c>
      <c r="P22" s="10">
        <f t="shared" si="0"/>
        <v>53</v>
      </c>
    </row>
    <row r="23" spans="1:16" x14ac:dyDescent="0.25">
      <c r="A23">
        <f t="shared" si="1"/>
        <v>15</v>
      </c>
      <c r="B23" s="6" t="s">
        <v>228</v>
      </c>
      <c r="C23" s="38" t="s">
        <v>124</v>
      </c>
      <c r="D23" s="38" t="s">
        <v>124</v>
      </c>
      <c r="E23" s="38" t="s">
        <v>124</v>
      </c>
      <c r="F23" s="38" t="s">
        <v>124</v>
      </c>
      <c r="G23" s="38" t="s">
        <v>124</v>
      </c>
      <c r="H23" s="38" t="s">
        <v>124</v>
      </c>
      <c r="I23" s="4">
        <v>90</v>
      </c>
      <c r="J23" s="23">
        <v>0</v>
      </c>
      <c r="K23" s="4">
        <v>0</v>
      </c>
      <c r="L23" s="4">
        <v>89</v>
      </c>
      <c r="M23" s="4">
        <v>0</v>
      </c>
      <c r="N23" s="4">
        <v>0</v>
      </c>
      <c r="O23" s="4">
        <v>0</v>
      </c>
      <c r="P23" s="10">
        <f t="shared" si="0"/>
        <v>25.571428571428573</v>
      </c>
    </row>
    <row r="24" spans="1:16" x14ac:dyDescent="0.25">
      <c r="A24">
        <f t="shared" si="1"/>
        <v>16</v>
      </c>
      <c r="B24" s="6" t="s">
        <v>229</v>
      </c>
      <c r="C24" s="38" t="s">
        <v>237</v>
      </c>
      <c r="D24" s="38" t="s">
        <v>125</v>
      </c>
      <c r="E24" s="38" t="s">
        <v>125</v>
      </c>
      <c r="F24" s="38" t="s">
        <v>125</v>
      </c>
      <c r="G24" s="38" t="s">
        <v>125</v>
      </c>
      <c r="H24" s="38" t="s">
        <v>125</v>
      </c>
      <c r="I24" s="4">
        <v>90</v>
      </c>
      <c r="J24" s="4">
        <v>95</v>
      </c>
      <c r="K24" s="4">
        <v>95</v>
      </c>
      <c r="L24" s="4">
        <v>94</v>
      </c>
      <c r="M24" s="4">
        <v>0</v>
      </c>
      <c r="N24" s="4">
        <v>0</v>
      </c>
      <c r="O24" s="4">
        <v>0</v>
      </c>
      <c r="P24" s="10">
        <f t="shared" si="0"/>
        <v>53.428571428571431</v>
      </c>
    </row>
    <row r="25" spans="1:16" x14ac:dyDescent="0.25">
      <c r="A25">
        <f t="shared" si="1"/>
        <v>17</v>
      </c>
      <c r="B25" s="6" t="s">
        <v>230</v>
      </c>
      <c r="C25" s="38" t="s">
        <v>126</v>
      </c>
      <c r="D25" s="38" t="s">
        <v>126</v>
      </c>
      <c r="E25" s="38" t="s">
        <v>126</v>
      </c>
      <c r="F25" s="38" t="s">
        <v>126</v>
      </c>
      <c r="G25" s="38" t="s">
        <v>126</v>
      </c>
      <c r="H25" s="38" t="s">
        <v>126</v>
      </c>
      <c r="I25" s="4">
        <v>88</v>
      </c>
      <c r="J25" s="4">
        <v>88</v>
      </c>
      <c r="K25" s="4">
        <v>94</v>
      </c>
      <c r="L25" s="4">
        <v>90</v>
      </c>
      <c r="M25" s="4">
        <v>0</v>
      </c>
      <c r="N25" s="4">
        <v>0</v>
      </c>
      <c r="O25" s="4">
        <v>0</v>
      </c>
      <c r="P25" s="10">
        <f t="shared" si="0"/>
        <v>51.428571428571431</v>
      </c>
    </row>
    <row r="26" spans="1:16" x14ac:dyDescent="0.25">
      <c r="A26">
        <f t="shared" si="1"/>
        <v>18</v>
      </c>
      <c r="B26" s="6" t="s">
        <v>231</v>
      </c>
      <c r="C26" s="38" t="s">
        <v>127</v>
      </c>
      <c r="D26" s="38" t="s">
        <v>127</v>
      </c>
      <c r="E26" s="38" t="s">
        <v>127</v>
      </c>
      <c r="F26" s="38" t="s">
        <v>127</v>
      </c>
      <c r="G26" s="38" t="s">
        <v>127</v>
      </c>
      <c r="H26" s="38" t="s">
        <v>127</v>
      </c>
      <c r="I26" s="4">
        <v>93</v>
      </c>
      <c r="J26" s="4">
        <v>92</v>
      </c>
      <c r="K26" s="4">
        <v>96</v>
      </c>
      <c r="L26" s="4">
        <v>87</v>
      </c>
      <c r="M26" s="4">
        <v>0</v>
      </c>
      <c r="N26" s="4">
        <v>0</v>
      </c>
      <c r="O26" s="4">
        <v>0</v>
      </c>
      <c r="P26" s="10">
        <f t="shared" si="0"/>
        <v>52.571428571428569</v>
      </c>
    </row>
    <row r="27" spans="1:16" x14ac:dyDescent="0.25">
      <c r="A27">
        <f t="shared" si="1"/>
        <v>19</v>
      </c>
      <c r="B27" s="6" t="s">
        <v>232</v>
      </c>
      <c r="C27" s="38" t="s">
        <v>128</v>
      </c>
      <c r="D27" s="38" t="s">
        <v>128</v>
      </c>
      <c r="E27" s="38" t="s">
        <v>128</v>
      </c>
      <c r="F27" s="38" t="s">
        <v>128</v>
      </c>
      <c r="G27" s="38" t="s">
        <v>128</v>
      </c>
      <c r="H27" s="38" t="s">
        <v>128</v>
      </c>
      <c r="I27" s="4">
        <v>89</v>
      </c>
      <c r="J27" s="4">
        <v>90</v>
      </c>
      <c r="K27" s="4">
        <v>86</v>
      </c>
      <c r="L27" s="4">
        <v>86</v>
      </c>
      <c r="M27" s="4">
        <v>0</v>
      </c>
      <c r="N27" s="4">
        <v>0</v>
      </c>
      <c r="O27" s="4">
        <v>0</v>
      </c>
      <c r="P27" s="10">
        <f t="shared" si="0"/>
        <v>50.142857142857146</v>
      </c>
    </row>
    <row r="28" spans="1:16" x14ac:dyDescent="0.25">
      <c r="A28">
        <f t="shared" si="1"/>
        <v>20</v>
      </c>
      <c r="B28" s="6" t="s">
        <v>255</v>
      </c>
      <c r="C28" s="38" t="s">
        <v>254</v>
      </c>
      <c r="D28" s="38" t="s">
        <v>129</v>
      </c>
      <c r="E28" s="38" t="s">
        <v>129</v>
      </c>
      <c r="F28" s="38" t="s">
        <v>129</v>
      </c>
      <c r="G28" s="38" t="s">
        <v>129</v>
      </c>
      <c r="H28" s="38" t="s">
        <v>129</v>
      </c>
      <c r="I28" s="4">
        <v>70</v>
      </c>
      <c r="J28" s="23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ref="P28:P32" si="2">SUM(I28:O28)/7</f>
        <v>10</v>
      </c>
    </row>
    <row r="29" spans="1:16" x14ac:dyDescent="0.25">
      <c r="A29">
        <f t="shared" si="1"/>
        <v>21</v>
      </c>
      <c r="B29" s="6" t="s">
        <v>233</v>
      </c>
      <c r="C29" s="38" t="s">
        <v>129</v>
      </c>
      <c r="D29" s="38" t="s">
        <v>130</v>
      </c>
      <c r="E29" s="38" t="s">
        <v>130</v>
      </c>
      <c r="F29" s="38" t="s">
        <v>130</v>
      </c>
      <c r="G29" s="38" t="s">
        <v>130</v>
      </c>
      <c r="H29" s="38" t="s">
        <v>130</v>
      </c>
      <c r="I29" s="4">
        <v>75</v>
      </c>
      <c r="J29" s="4">
        <v>89</v>
      </c>
      <c r="K29" s="4">
        <v>88</v>
      </c>
      <c r="L29" s="4">
        <v>88</v>
      </c>
      <c r="M29" s="4">
        <v>0</v>
      </c>
      <c r="N29" s="4">
        <v>0</v>
      </c>
      <c r="O29" s="4">
        <v>0</v>
      </c>
      <c r="P29" s="10">
        <f t="shared" si="2"/>
        <v>48.571428571428569</v>
      </c>
    </row>
    <row r="30" spans="1:16" x14ac:dyDescent="0.25">
      <c r="A30">
        <f t="shared" si="1"/>
        <v>22</v>
      </c>
      <c r="B30" s="6" t="s">
        <v>235</v>
      </c>
      <c r="C30" s="38" t="s">
        <v>131</v>
      </c>
      <c r="D30" s="38" t="s">
        <v>131</v>
      </c>
      <c r="E30" s="38" t="s">
        <v>131</v>
      </c>
      <c r="F30" s="38" t="s">
        <v>131</v>
      </c>
      <c r="G30" s="38" t="s">
        <v>131</v>
      </c>
      <c r="H30" s="38" t="s">
        <v>131</v>
      </c>
      <c r="I30" s="4">
        <v>76</v>
      </c>
      <c r="J30" s="4">
        <v>85</v>
      </c>
      <c r="K30" s="4">
        <v>94</v>
      </c>
      <c r="L30" s="4">
        <v>90</v>
      </c>
      <c r="M30" s="4">
        <v>0</v>
      </c>
      <c r="N30" s="4">
        <v>0</v>
      </c>
      <c r="O30" s="4">
        <v>0</v>
      </c>
      <c r="P30" s="10">
        <f t="shared" si="2"/>
        <v>49.285714285714285</v>
      </c>
    </row>
    <row r="31" spans="1:16" x14ac:dyDescent="0.25">
      <c r="A31">
        <f t="shared" si="1"/>
        <v>23</v>
      </c>
      <c r="B31" s="6" t="s">
        <v>235</v>
      </c>
      <c r="C31" s="38" t="s">
        <v>132</v>
      </c>
      <c r="D31" s="38" t="s">
        <v>132</v>
      </c>
      <c r="E31" s="38" t="s">
        <v>132</v>
      </c>
      <c r="F31" s="38" t="s">
        <v>132</v>
      </c>
      <c r="G31" s="38" t="s">
        <v>132</v>
      </c>
      <c r="H31" s="38" t="s">
        <v>132</v>
      </c>
      <c r="I31" s="4">
        <v>90</v>
      </c>
      <c r="J31" s="4">
        <v>92</v>
      </c>
      <c r="K31" s="4">
        <v>98</v>
      </c>
      <c r="L31" s="4">
        <v>94</v>
      </c>
      <c r="M31" s="4">
        <v>0</v>
      </c>
      <c r="N31" s="4">
        <v>0</v>
      </c>
      <c r="O31" s="4">
        <v>0</v>
      </c>
      <c r="P31" s="10">
        <f t="shared" si="2"/>
        <v>53.428571428571431</v>
      </c>
    </row>
    <row r="32" spans="1:16" x14ac:dyDescent="0.25">
      <c r="B32" s="6"/>
      <c r="C32" s="38"/>
      <c r="D32" s="38"/>
      <c r="E32" s="38"/>
      <c r="F32" s="38"/>
      <c r="G32" s="38"/>
      <c r="H32" s="38"/>
      <c r="I32" s="4"/>
      <c r="J32" s="4"/>
      <c r="K32" s="4"/>
      <c r="L32" s="4"/>
      <c r="M32" s="4"/>
      <c r="N32" s="4"/>
      <c r="O32" s="4"/>
      <c r="P32" s="10">
        <f t="shared" si="2"/>
        <v>0</v>
      </c>
    </row>
    <row r="33" spans="2:16" x14ac:dyDescent="0.25">
      <c r="B33" s="6"/>
      <c r="C33" s="40"/>
      <c r="D33" s="40"/>
      <c r="E33" s="40"/>
      <c r="F33" s="40"/>
      <c r="G33" s="40"/>
      <c r="H33" s="40"/>
      <c r="I33" s="4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/>
      <c r="C34" s="40"/>
      <c r="D34" s="40"/>
      <c r="E34" s="40"/>
      <c r="F34" s="40"/>
      <c r="G34" s="40"/>
      <c r="H34" s="40"/>
      <c r="I34" s="4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/>
      <c r="C35" s="40"/>
      <c r="D35" s="40"/>
      <c r="E35" s="40"/>
      <c r="F35" s="40"/>
      <c r="G35" s="40"/>
      <c r="H35" s="40"/>
      <c r="I35" s="4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/>
      <c r="C36" s="40"/>
      <c r="D36" s="40"/>
      <c r="E36" s="40"/>
      <c r="F36" s="40"/>
      <c r="G36" s="40"/>
      <c r="H36" s="40"/>
      <c r="I36" s="4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/>
      <c r="C37" s="40"/>
      <c r="D37" s="40"/>
      <c r="E37" s="40"/>
      <c r="F37" s="40"/>
      <c r="G37" s="40"/>
      <c r="H37" s="40"/>
      <c r="I37" s="4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/>
      <c r="C38" s="40"/>
      <c r="D38" s="40"/>
      <c r="E38" s="40"/>
      <c r="F38" s="40"/>
      <c r="G38" s="40"/>
      <c r="H38" s="40"/>
      <c r="I38" s="4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/>
      <c r="C39" s="40"/>
      <c r="D39" s="40"/>
      <c r="E39" s="40"/>
      <c r="F39" s="40"/>
      <c r="G39" s="40"/>
      <c r="H39" s="40"/>
      <c r="I39" s="4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/>
      <c r="C40" s="40"/>
      <c r="D40" s="40"/>
      <c r="E40" s="40"/>
      <c r="F40" s="40"/>
      <c r="G40" s="40"/>
      <c r="H40" s="40"/>
      <c r="I40" s="4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/>
      <c r="C41" s="40"/>
      <c r="D41" s="40"/>
      <c r="E41" s="40"/>
      <c r="F41" s="40"/>
      <c r="G41" s="40"/>
      <c r="H41" s="40"/>
      <c r="I41" s="4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/>
      <c r="C42" s="40"/>
      <c r="D42" s="40"/>
      <c r="E42" s="40"/>
      <c r="F42" s="40"/>
      <c r="G42" s="40"/>
      <c r="H42" s="40"/>
      <c r="I42" s="4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/>
      <c r="C43" s="40"/>
      <c r="D43" s="40"/>
      <c r="E43" s="40"/>
      <c r="F43" s="40"/>
      <c r="G43" s="40"/>
      <c r="H43" s="40"/>
      <c r="I43" s="4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/>
      <c r="C44" s="40"/>
      <c r="D44" s="40"/>
      <c r="E44" s="40"/>
      <c r="F44" s="40"/>
      <c r="G44" s="40"/>
      <c r="H44" s="40"/>
      <c r="I44" s="4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/>
      <c r="C45" s="40"/>
      <c r="D45" s="40"/>
      <c r="E45" s="40"/>
      <c r="F45" s="40"/>
      <c r="G45" s="40"/>
      <c r="H45" s="40"/>
      <c r="I45" s="4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7"/>
      <c r="C46" s="40"/>
      <c r="D46" s="40"/>
      <c r="E46" s="40"/>
      <c r="F46" s="40"/>
      <c r="G46" s="40"/>
      <c r="H46" s="40"/>
      <c r="I46" s="4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7"/>
      <c r="C47" s="40"/>
      <c r="D47" s="40"/>
      <c r="E47" s="40"/>
      <c r="F47" s="40"/>
      <c r="G47" s="40"/>
      <c r="H47" s="40"/>
      <c r="I47" s="4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7"/>
      <c r="C48" s="40"/>
      <c r="D48" s="40"/>
      <c r="E48" s="40"/>
      <c r="F48" s="40"/>
      <c r="G48" s="40"/>
      <c r="H48" s="40"/>
      <c r="I48" s="4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7"/>
      <c r="C49" s="40"/>
      <c r="D49" s="40"/>
      <c r="E49" s="40"/>
      <c r="F49" s="40"/>
      <c r="G49" s="40"/>
      <c r="H49" s="40"/>
      <c r="I49" s="4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7"/>
      <c r="C50" s="40"/>
      <c r="D50" s="40"/>
      <c r="E50" s="40"/>
      <c r="F50" s="40"/>
      <c r="G50" s="40"/>
      <c r="H50" s="40"/>
      <c r="I50" s="4"/>
      <c r="J50" s="4"/>
      <c r="K50" s="4"/>
      <c r="L50" s="4"/>
      <c r="M50" s="4"/>
      <c r="N50" s="4"/>
      <c r="O50" s="4"/>
      <c r="P50" s="10">
        <f t="shared" ref="P50:P54" si="3">SUM(I50:O50)/7</f>
        <v>0</v>
      </c>
    </row>
    <row r="51" spans="2:16" x14ac:dyDescent="0.25">
      <c r="B51" s="7"/>
      <c r="C51" s="40"/>
      <c r="D51" s="40"/>
      <c r="E51" s="40"/>
      <c r="F51" s="40"/>
      <c r="G51" s="40"/>
      <c r="H51" s="40"/>
      <c r="I51" s="4"/>
      <c r="J51" s="4"/>
      <c r="K51" s="4"/>
      <c r="L51" s="4"/>
      <c r="M51" s="4"/>
      <c r="N51" s="4"/>
      <c r="O51" s="4"/>
      <c r="P51" s="10">
        <f t="shared" si="3"/>
        <v>0</v>
      </c>
    </row>
    <row r="52" spans="2:16" x14ac:dyDescent="0.25">
      <c r="B52" s="7"/>
      <c r="C52" s="40"/>
      <c r="D52" s="40"/>
      <c r="E52" s="40"/>
      <c r="F52" s="40"/>
      <c r="G52" s="40"/>
      <c r="H52" s="40"/>
      <c r="I52" s="4"/>
      <c r="J52" s="4"/>
      <c r="K52" s="4"/>
      <c r="L52" s="4"/>
      <c r="M52" s="4"/>
      <c r="N52" s="4"/>
      <c r="O52" s="4"/>
      <c r="P52" s="10">
        <f t="shared" si="3"/>
        <v>0</v>
      </c>
    </row>
    <row r="53" spans="2:16" x14ac:dyDescent="0.25">
      <c r="B53" s="7"/>
      <c r="C53" s="40"/>
      <c r="D53" s="40"/>
      <c r="E53" s="40"/>
      <c r="F53" s="40"/>
      <c r="G53" s="40"/>
      <c r="H53" s="40"/>
      <c r="I53" s="4"/>
      <c r="J53" s="4"/>
      <c r="K53" s="4"/>
      <c r="L53" s="4"/>
      <c r="M53" s="4"/>
      <c r="N53" s="4"/>
      <c r="O53" s="4"/>
      <c r="P53" s="10">
        <f t="shared" si="3"/>
        <v>0</v>
      </c>
    </row>
    <row r="54" spans="2:16" x14ac:dyDescent="0.25">
      <c r="B54" s="3"/>
      <c r="C54" s="41"/>
      <c r="D54" s="42"/>
      <c r="E54" s="42"/>
      <c r="F54" s="42"/>
      <c r="G54" s="42"/>
      <c r="H54" s="43"/>
      <c r="I54" s="3"/>
      <c r="J54" s="3"/>
      <c r="K54" s="3"/>
      <c r="L54" s="3"/>
      <c r="M54" s="3"/>
      <c r="N54" s="3"/>
      <c r="O54" s="3"/>
      <c r="P54" s="10">
        <f t="shared" si="3"/>
        <v>0</v>
      </c>
    </row>
    <row r="55" spans="2:16" x14ac:dyDescent="0.25">
      <c r="B55" s="27"/>
      <c r="C55" s="27"/>
      <c r="D55" s="1"/>
      <c r="G55" s="30" t="s">
        <v>19</v>
      </c>
      <c r="H55" s="30"/>
      <c r="I55" s="11">
        <f>COUNTIF(I9:I54,"&gt;=70")</f>
        <v>23</v>
      </c>
      <c r="J55" s="11">
        <f t="shared" ref="J55:O55" si="4">COUNTIF(J9:J54,"&gt;=70")</f>
        <v>18</v>
      </c>
      <c r="K55" s="11">
        <f t="shared" si="4"/>
        <v>20</v>
      </c>
      <c r="L55" s="11">
        <f t="shared" si="4"/>
        <v>20</v>
      </c>
      <c r="M55" s="11">
        <f t="shared" si="4"/>
        <v>0</v>
      </c>
      <c r="N55" s="11">
        <f t="shared" si="4"/>
        <v>0</v>
      </c>
      <c r="O55" s="11">
        <f t="shared" si="4"/>
        <v>0</v>
      </c>
      <c r="P55" s="15">
        <f t="shared" ref="P55" si="5">COUNTIF(P9:P49,"&gt;=70")</f>
        <v>0</v>
      </c>
    </row>
    <row r="56" spans="2:16" x14ac:dyDescent="0.25">
      <c r="B56" s="27"/>
      <c r="C56" s="27"/>
      <c r="D56" s="8"/>
      <c r="G56" s="31" t="s">
        <v>20</v>
      </c>
      <c r="H56" s="31"/>
      <c r="I56" s="12">
        <f>COUNTIF(I9:I54,"&lt;70")</f>
        <v>0</v>
      </c>
      <c r="J56" s="12">
        <f t="shared" ref="J56:P56" si="6">COUNTIF(J9:J54,"&lt;70")</f>
        <v>5</v>
      </c>
      <c r="K56" s="12">
        <f t="shared" si="6"/>
        <v>3</v>
      </c>
      <c r="L56" s="12">
        <f t="shared" si="6"/>
        <v>3</v>
      </c>
      <c r="M56" s="12">
        <f t="shared" si="6"/>
        <v>23</v>
      </c>
      <c r="N56" s="12">
        <f t="shared" si="6"/>
        <v>23</v>
      </c>
      <c r="O56" s="12">
        <f t="shared" si="6"/>
        <v>23</v>
      </c>
      <c r="P56" s="12">
        <f t="shared" si="6"/>
        <v>46</v>
      </c>
    </row>
    <row r="57" spans="2:16" x14ac:dyDescent="0.25">
      <c r="B57" s="27"/>
      <c r="C57" s="27"/>
      <c r="D57" s="27"/>
      <c r="G57" s="31" t="s">
        <v>21</v>
      </c>
      <c r="H57" s="31"/>
      <c r="I57" s="12">
        <f>COUNT(I9:I54)</f>
        <v>23</v>
      </c>
      <c r="J57" s="12">
        <f t="shared" ref="J57:P57" si="7">COUNT(J9:J54)</f>
        <v>23</v>
      </c>
      <c r="K57" s="12">
        <f t="shared" si="7"/>
        <v>23</v>
      </c>
      <c r="L57" s="12">
        <f t="shared" si="7"/>
        <v>23</v>
      </c>
      <c r="M57" s="12">
        <f t="shared" si="7"/>
        <v>23</v>
      </c>
      <c r="N57" s="12">
        <f t="shared" si="7"/>
        <v>23</v>
      </c>
      <c r="O57" s="12">
        <f t="shared" si="7"/>
        <v>23</v>
      </c>
      <c r="P57" s="12">
        <f t="shared" si="7"/>
        <v>46</v>
      </c>
    </row>
    <row r="58" spans="2:16" x14ac:dyDescent="0.25">
      <c r="B58" s="27"/>
      <c r="C58" s="27"/>
      <c r="D58" s="1"/>
      <c r="G58" s="32" t="s">
        <v>16</v>
      </c>
      <c r="H58" s="32"/>
      <c r="I58" s="13">
        <f>I55/I57</f>
        <v>1</v>
      </c>
      <c r="J58" s="14">
        <f t="shared" ref="J58:P58" si="8">J55/J57</f>
        <v>0.78260869565217395</v>
      </c>
      <c r="K58" s="14">
        <f t="shared" si="8"/>
        <v>0.86956521739130432</v>
      </c>
      <c r="L58" s="14">
        <f t="shared" si="8"/>
        <v>0.86956521739130432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</row>
    <row r="59" spans="2:16" x14ac:dyDescent="0.25">
      <c r="B59" s="27"/>
      <c r="C59" s="27"/>
      <c r="D59" s="1"/>
      <c r="G59" s="32" t="s">
        <v>17</v>
      </c>
      <c r="H59" s="32"/>
      <c r="I59" s="13">
        <f>I56/I57</f>
        <v>0</v>
      </c>
      <c r="J59" s="13">
        <f t="shared" ref="J59:P59" si="9">J56/J57</f>
        <v>0.21739130434782608</v>
      </c>
      <c r="K59" s="14">
        <f t="shared" si="9"/>
        <v>0.13043478260869565</v>
      </c>
      <c r="L59" s="14">
        <f t="shared" si="9"/>
        <v>0.13043478260869565</v>
      </c>
      <c r="M59" s="14">
        <f t="shared" si="9"/>
        <v>1</v>
      </c>
      <c r="N59" s="14">
        <f t="shared" si="9"/>
        <v>1</v>
      </c>
      <c r="O59" s="14">
        <f t="shared" si="9"/>
        <v>1</v>
      </c>
      <c r="P59" s="14">
        <f t="shared" si="9"/>
        <v>1</v>
      </c>
    </row>
    <row r="60" spans="2:16" x14ac:dyDescent="0.25">
      <c r="B60" s="27"/>
      <c r="C60" s="27"/>
      <c r="D60" s="8"/>
    </row>
    <row r="61" spans="2:16" x14ac:dyDescent="0.25">
      <c r="B61" s="1"/>
      <c r="C61" s="1"/>
      <c r="D61" s="8"/>
    </row>
    <row r="62" spans="2:16" x14ac:dyDescent="0.25">
      <c r="I62" s="33"/>
      <c r="J62" s="33"/>
      <c r="K62" s="33"/>
      <c r="L62" s="33"/>
      <c r="M62" s="33"/>
      <c r="N62" s="33"/>
      <c r="O62" s="33"/>
    </row>
    <row r="63" spans="2:16" x14ac:dyDescent="0.25">
      <c r="I63" s="26" t="s">
        <v>18</v>
      </c>
      <c r="J63" s="26"/>
      <c r="K63" s="26"/>
      <c r="L63" s="26"/>
      <c r="M63" s="26"/>
      <c r="N63" s="26"/>
      <c r="O63" s="26"/>
    </row>
  </sheetData>
  <mergeCells count="68">
    <mergeCell ref="B59:C59"/>
    <mergeCell ref="G59:H59"/>
    <mergeCell ref="B60:C60"/>
    <mergeCell ref="I62:O62"/>
    <mergeCell ref="I63:O63"/>
    <mergeCell ref="B56:C56"/>
    <mergeCell ref="G56:H56"/>
    <mergeCell ref="B57:D57"/>
    <mergeCell ref="G57:H57"/>
    <mergeCell ref="B58:C58"/>
    <mergeCell ref="G58:H58"/>
    <mergeCell ref="C51:H51"/>
    <mergeCell ref="C52:H52"/>
    <mergeCell ref="C53:H53"/>
    <mergeCell ref="C54:H54"/>
    <mergeCell ref="B55:C55"/>
    <mergeCell ref="G55:H55"/>
    <mergeCell ref="C50:H50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38:H38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26:H26"/>
    <mergeCell ref="C14:H14"/>
    <mergeCell ref="C15:H15"/>
    <mergeCell ref="C16:H16"/>
    <mergeCell ref="C17:H17"/>
    <mergeCell ref="C18:H18"/>
    <mergeCell ref="C19:H19"/>
    <mergeCell ref="C21:H21"/>
    <mergeCell ref="C22:H22"/>
    <mergeCell ref="C23:H23"/>
    <mergeCell ref="C24:H24"/>
    <mergeCell ref="C25:H25"/>
    <mergeCell ref="C20:H20"/>
    <mergeCell ref="C13:H13"/>
    <mergeCell ref="B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A8FD-6E12-408B-B30B-35C20B19D3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63"/>
  <sheetViews>
    <sheetView topLeftCell="A40" zoomScaleNormal="100" workbookViewId="0">
      <selection activeCell="L13" sqref="L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42578125" customWidth="1"/>
    <col min="15" max="16" width="5.7109375" customWidth="1"/>
  </cols>
  <sheetData>
    <row r="2" spans="2:15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"/>
      <c r="O2" s="2"/>
    </row>
    <row r="3" spans="2:15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1"/>
      <c r="O3" s="1"/>
    </row>
    <row r="4" spans="2:15" x14ac:dyDescent="0.25">
      <c r="C4" t="s">
        <v>0</v>
      </c>
      <c r="D4" s="34" t="s">
        <v>133</v>
      </c>
      <c r="E4" s="34"/>
      <c r="F4" s="34"/>
      <c r="G4" s="34"/>
      <c r="I4" t="s">
        <v>1</v>
      </c>
      <c r="J4" s="36" t="s">
        <v>134</v>
      </c>
      <c r="K4" s="36"/>
      <c r="M4" t="s">
        <v>2</v>
      </c>
      <c r="N4" s="17">
        <v>45096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83</v>
      </c>
      <c r="L6" s="28"/>
      <c r="M6" s="2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9" t="s">
        <v>23</v>
      </c>
    </row>
    <row r="9" spans="2:15" x14ac:dyDescent="0.25">
      <c r="B9" s="6">
        <v>1</v>
      </c>
      <c r="C9" s="6" t="s">
        <v>218</v>
      </c>
      <c r="D9" s="38" t="s">
        <v>238</v>
      </c>
      <c r="E9" s="38" t="s">
        <v>111</v>
      </c>
      <c r="F9" s="38" t="s">
        <v>111</v>
      </c>
      <c r="G9" s="38" t="s">
        <v>111</v>
      </c>
      <c r="H9" s="38" t="s">
        <v>111</v>
      </c>
      <c r="I9" s="38" t="s">
        <v>111</v>
      </c>
      <c r="J9" s="4">
        <v>70</v>
      </c>
      <c r="K9" s="4">
        <v>0</v>
      </c>
      <c r="L9" s="4">
        <v>0</v>
      </c>
      <c r="M9" s="4">
        <v>0</v>
      </c>
      <c r="N9" s="10">
        <f>SUM(J9:M9)/4</f>
        <v>17.5</v>
      </c>
    </row>
    <row r="10" spans="2:15" x14ac:dyDescent="0.25">
      <c r="B10" s="6">
        <f>B9+1</f>
        <v>2</v>
      </c>
      <c r="C10" s="6" t="s">
        <v>217</v>
      </c>
      <c r="D10" s="38" t="s">
        <v>113</v>
      </c>
      <c r="E10" s="38" t="s">
        <v>112</v>
      </c>
      <c r="F10" s="38" t="s">
        <v>112</v>
      </c>
      <c r="G10" s="38" t="s">
        <v>112</v>
      </c>
      <c r="H10" s="38" t="s">
        <v>112</v>
      </c>
      <c r="I10" s="38" t="s">
        <v>112</v>
      </c>
      <c r="J10" s="4">
        <v>90</v>
      </c>
      <c r="K10" s="4">
        <v>0</v>
      </c>
      <c r="L10" s="4">
        <v>0</v>
      </c>
      <c r="M10" s="4">
        <v>0</v>
      </c>
      <c r="N10" s="10">
        <f t="shared" ref="N10:N30" si="0">SUM(J10:M10)/4</f>
        <v>22.5</v>
      </c>
    </row>
    <row r="11" spans="2:15" x14ac:dyDescent="0.25">
      <c r="B11" s="6">
        <f t="shared" ref="B11:B54" si="1">B10+1</f>
        <v>3</v>
      </c>
      <c r="C11" s="6" t="s">
        <v>219</v>
      </c>
      <c r="D11" s="38" t="s">
        <v>111</v>
      </c>
      <c r="E11" s="38" t="s">
        <v>113</v>
      </c>
      <c r="F11" s="38" t="s">
        <v>113</v>
      </c>
      <c r="G11" s="38" t="s">
        <v>113</v>
      </c>
      <c r="H11" s="38" t="s">
        <v>113</v>
      </c>
      <c r="I11" s="38" t="s">
        <v>113</v>
      </c>
      <c r="J11" s="4">
        <v>80</v>
      </c>
      <c r="K11" s="4">
        <v>0</v>
      </c>
      <c r="L11" s="4">
        <v>0</v>
      </c>
      <c r="M11" s="4">
        <v>0</v>
      </c>
      <c r="N11" s="10">
        <f t="shared" si="0"/>
        <v>20</v>
      </c>
    </row>
    <row r="12" spans="2:15" x14ac:dyDescent="0.25">
      <c r="B12" s="6">
        <f t="shared" si="1"/>
        <v>4</v>
      </c>
      <c r="C12" s="6" t="s">
        <v>220</v>
      </c>
      <c r="D12" s="38" t="s">
        <v>115</v>
      </c>
      <c r="E12" s="38" t="s">
        <v>115</v>
      </c>
      <c r="F12" s="38" t="s">
        <v>115</v>
      </c>
      <c r="G12" s="38" t="s">
        <v>115</v>
      </c>
      <c r="H12" s="38" t="s">
        <v>115</v>
      </c>
      <c r="I12" s="38" t="s">
        <v>115</v>
      </c>
      <c r="J12" s="4">
        <v>85</v>
      </c>
      <c r="K12" s="4">
        <v>0</v>
      </c>
      <c r="L12" s="4">
        <v>0</v>
      </c>
      <c r="M12" s="4">
        <v>0</v>
      </c>
      <c r="N12" s="10">
        <f t="shared" si="0"/>
        <v>21.25</v>
      </c>
    </row>
    <row r="13" spans="2:15" x14ac:dyDescent="0.25">
      <c r="B13" s="6">
        <f t="shared" si="1"/>
        <v>5</v>
      </c>
      <c r="C13" s="6" t="s">
        <v>243</v>
      </c>
      <c r="D13" s="38" t="s">
        <v>136</v>
      </c>
      <c r="E13" s="38"/>
      <c r="F13" s="38"/>
      <c r="G13" s="38"/>
      <c r="H13" s="38"/>
      <c r="I13" s="38"/>
      <c r="J13" s="4">
        <v>80</v>
      </c>
      <c r="K13" s="4">
        <v>0</v>
      </c>
      <c r="L13" s="4">
        <v>0</v>
      </c>
      <c r="M13" s="4">
        <v>0</v>
      </c>
      <c r="N13" s="10">
        <f t="shared" si="0"/>
        <v>20</v>
      </c>
    </row>
    <row r="14" spans="2:15" x14ac:dyDescent="0.25">
      <c r="B14" s="6">
        <f t="shared" si="1"/>
        <v>6</v>
      </c>
      <c r="C14" s="6" t="s">
        <v>221</v>
      </c>
      <c r="D14" s="38" t="s">
        <v>116</v>
      </c>
      <c r="E14" s="38" t="s">
        <v>116</v>
      </c>
      <c r="F14" s="38" t="s">
        <v>116</v>
      </c>
      <c r="G14" s="38" t="s">
        <v>116</v>
      </c>
      <c r="H14" s="38" t="s">
        <v>116</v>
      </c>
      <c r="I14" s="38" t="s">
        <v>116</v>
      </c>
      <c r="J14" s="4">
        <v>80</v>
      </c>
      <c r="K14" s="4">
        <v>0</v>
      </c>
      <c r="L14" s="4">
        <v>70</v>
      </c>
      <c r="M14" s="4">
        <v>0</v>
      </c>
      <c r="N14" s="10">
        <f t="shared" si="0"/>
        <v>37.5</v>
      </c>
    </row>
    <row r="15" spans="2:15" x14ac:dyDescent="0.25">
      <c r="B15" s="6">
        <f t="shared" si="1"/>
        <v>7</v>
      </c>
      <c r="C15" s="6" t="s">
        <v>239</v>
      </c>
      <c r="D15" s="38" t="s">
        <v>117</v>
      </c>
      <c r="E15" s="38" t="s">
        <v>117</v>
      </c>
      <c r="F15" s="38" t="s">
        <v>117</v>
      </c>
      <c r="G15" s="38" t="s">
        <v>117</v>
      </c>
      <c r="H15" s="38" t="s">
        <v>117</v>
      </c>
      <c r="I15" s="38" t="s">
        <v>117</v>
      </c>
      <c r="J15" s="4">
        <v>70</v>
      </c>
      <c r="K15" s="4">
        <v>0</v>
      </c>
      <c r="L15" s="4">
        <v>0</v>
      </c>
      <c r="M15" s="4">
        <v>0</v>
      </c>
      <c r="N15" s="10">
        <f t="shared" si="0"/>
        <v>17.5</v>
      </c>
    </row>
    <row r="16" spans="2:15" x14ac:dyDescent="0.25">
      <c r="B16" s="6">
        <f t="shared" si="1"/>
        <v>8</v>
      </c>
      <c r="C16" s="6" t="s">
        <v>223</v>
      </c>
      <c r="D16" s="38" t="s">
        <v>119</v>
      </c>
      <c r="E16" s="38" t="s">
        <v>119</v>
      </c>
      <c r="F16" s="38" t="s">
        <v>119</v>
      </c>
      <c r="G16" s="38" t="s">
        <v>119</v>
      </c>
      <c r="H16" s="38" t="s">
        <v>119</v>
      </c>
      <c r="I16" s="38" t="s">
        <v>119</v>
      </c>
      <c r="J16" s="4">
        <v>85</v>
      </c>
      <c r="K16" s="4">
        <v>0</v>
      </c>
      <c r="L16" s="4">
        <v>0</v>
      </c>
      <c r="M16" s="4">
        <v>0</v>
      </c>
      <c r="N16" s="10">
        <f t="shared" si="0"/>
        <v>21.25</v>
      </c>
    </row>
    <row r="17" spans="2:14" x14ac:dyDescent="0.25">
      <c r="B17" s="6">
        <f t="shared" si="1"/>
        <v>9</v>
      </c>
      <c r="C17" s="6" t="s">
        <v>224</v>
      </c>
      <c r="D17" s="38" t="s">
        <v>137</v>
      </c>
      <c r="E17" s="38" t="s">
        <v>120</v>
      </c>
      <c r="F17" s="38" t="s">
        <v>120</v>
      </c>
      <c r="G17" s="38" t="s">
        <v>120</v>
      </c>
      <c r="H17" s="38" t="s">
        <v>120</v>
      </c>
      <c r="I17" s="38" t="s">
        <v>120</v>
      </c>
      <c r="J17" s="4">
        <v>90</v>
      </c>
      <c r="K17" s="4">
        <v>0</v>
      </c>
      <c r="L17" s="4">
        <v>70</v>
      </c>
      <c r="M17" s="4">
        <v>0</v>
      </c>
      <c r="N17" s="10">
        <f t="shared" si="0"/>
        <v>40</v>
      </c>
    </row>
    <row r="18" spans="2:14" x14ac:dyDescent="0.25">
      <c r="B18" s="6">
        <f t="shared" si="1"/>
        <v>10</v>
      </c>
      <c r="C18" s="6" t="s">
        <v>225</v>
      </c>
      <c r="D18" s="38" t="s">
        <v>121</v>
      </c>
      <c r="E18" s="38" t="s">
        <v>121</v>
      </c>
      <c r="F18" s="38" t="s">
        <v>121</v>
      </c>
      <c r="G18" s="38" t="s">
        <v>121</v>
      </c>
      <c r="H18" s="38" t="s">
        <v>121</v>
      </c>
      <c r="I18" s="38" t="s">
        <v>121</v>
      </c>
      <c r="J18" s="4">
        <v>70</v>
      </c>
      <c r="K18" s="4">
        <v>0</v>
      </c>
      <c r="L18" s="4">
        <v>70</v>
      </c>
      <c r="M18" s="4">
        <v>0</v>
      </c>
      <c r="N18" s="10">
        <f t="shared" si="0"/>
        <v>35</v>
      </c>
    </row>
    <row r="19" spans="2:14" x14ac:dyDescent="0.25">
      <c r="B19" s="6">
        <f t="shared" si="1"/>
        <v>11</v>
      </c>
      <c r="C19" s="6" t="s">
        <v>234</v>
      </c>
      <c r="D19" s="38" t="s">
        <v>256</v>
      </c>
      <c r="E19" s="38"/>
      <c r="F19" s="38"/>
      <c r="G19" s="38"/>
      <c r="H19" s="38"/>
      <c r="I19" s="24"/>
      <c r="J19" s="4">
        <v>85</v>
      </c>
      <c r="K19" s="4">
        <v>0</v>
      </c>
      <c r="L19" s="4">
        <v>0</v>
      </c>
      <c r="M19" s="4">
        <v>0</v>
      </c>
      <c r="N19" s="10">
        <f t="shared" si="0"/>
        <v>21.25</v>
      </c>
    </row>
    <row r="20" spans="2:14" x14ac:dyDescent="0.25">
      <c r="B20" s="6">
        <f t="shared" si="1"/>
        <v>12</v>
      </c>
      <c r="C20" s="6" t="s">
        <v>240</v>
      </c>
      <c r="D20" s="38" t="s">
        <v>122</v>
      </c>
      <c r="E20" s="38" t="s">
        <v>122</v>
      </c>
      <c r="F20" s="38" t="s">
        <v>122</v>
      </c>
      <c r="G20" s="38" t="s">
        <v>122</v>
      </c>
      <c r="H20" s="38" t="s">
        <v>122</v>
      </c>
      <c r="I20" s="38" t="s">
        <v>122</v>
      </c>
      <c r="J20" s="4">
        <v>80</v>
      </c>
      <c r="K20" s="4">
        <v>0</v>
      </c>
      <c r="L20" s="4">
        <v>0</v>
      </c>
      <c r="M20" s="4">
        <v>0</v>
      </c>
      <c r="N20" s="10">
        <f t="shared" si="0"/>
        <v>20</v>
      </c>
    </row>
    <row r="21" spans="2:14" x14ac:dyDescent="0.25">
      <c r="B21" s="6">
        <f t="shared" si="1"/>
        <v>13</v>
      </c>
      <c r="C21" s="6" t="s">
        <v>227</v>
      </c>
      <c r="D21" s="38" t="s">
        <v>123</v>
      </c>
      <c r="E21" s="38" t="s">
        <v>123</v>
      </c>
      <c r="F21" s="38" t="s">
        <v>123</v>
      </c>
      <c r="G21" s="38" t="s">
        <v>123</v>
      </c>
      <c r="H21" s="38" t="s">
        <v>123</v>
      </c>
      <c r="I21" s="38" t="s">
        <v>123</v>
      </c>
      <c r="J21" s="4">
        <v>80</v>
      </c>
      <c r="K21" s="4">
        <v>0</v>
      </c>
      <c r="L21" s="4">
        <v>0</v>
      </c>
      <c r="M21" s="4">
        <v>0</v>
      </c>
      <c r="N21" s="10">
        <f t="shared" si="0"/>
        <v>20</v>
      </c>
    </row>
    <row r="22" spans="2:14" x14ac:dyDescent="0.25">
      <c r="B22" s="6">
        <f t="shared" si="1"/>
        <v>14</v>
      </c>
      <c r="C22" s="6" t="s">
        <v>241</v>
      </c>
      <c r="D22" s="38" t="s">
        <v>124</v>
      </c>
      <c r="E22" s="38" t="s">
        <v>124</v>
      </c>
      <c r="F22" s="38" t="s">
        <v>124</v>
      </c>
      <c r="G22" s="38" t="s">
        <v>124</v>
      </c>
      <c r="H22" s="38" t="s">
        <v>124</v>
      </c>
      <c r="I22" s="38" t="s">
        <v>124</v>
      </c>
      <c r="J22" s="4">
        <v>80</v>
      </c>
      <c r="K22" s="4">
        <v>0</v>
      </c>
      <c r="L22" s="4">
        <v>0</v>
      </c>
      <c r="M22" s="4">
        <v>0</v>
      </c>
      <c r="N22" s="10">
        <f t="shared" si="0"/>
        <v>20</v>
      </c>
    </row>
    <row r="23" spans="2:14" x14ac:dyDescent="0.25">
      <c r="B23" s="6">
        <f t="shared" si="1"/>
        <v>15</v>
      </c>
      <c r="C23" s="6" t="s">
        <v>229</v>
      </c>
      <c r="D23" s="38" t="s">
        <v>237</v>
      </c>
      <c r="E23" s="38" t="s">
        <v>125</v>
      </c>
      <c r="F23" s="38" t="s">
        <v>125</v>
      </c>
      <c r="G23" s="38" t="s">
        <v>125</v>
      </c>
      <c r="H23" s="38" t="s">
        <v>125</v>
      </c>
      <c r="I23" s="38" t="s">
        <v>125</v>
      </c>
      <c r="J23" s="4">
        <v>80</v>
      </c>
      <c r="K23" s="4">
        <v>0</v>
      </c>
      <c r="L23" s="4">
        <v>0</v>
      </c>
      <c r="M23" s="4">
        <v>0</v>
      </c>
      <c r="N23" s="10">
        <f t="shared" si="0"/>
        <v>20</v>
      </c>
    </row>
    <row r="24" spans="2:14" x14ac:dyDescent="0.25">
      <c r="B24" s="6">
        <f t="shared" si="1"/>
        <v>16</v>
      </c>
      <c r="C24" s="6" t="s">
        <v>230</v>
      </c>
      <c r="D24" s="38" t="s">
        <v>126</v>
      </c>
      <c r="E24" s="38" t="s">
        <v>126</v>
      </c>
      <c r="F24" s="38" t="s">
        <v>126</v>
      </c>
      <c r="G24" s="38" t="s">
        <v>126</v>
      </c>
      <c r="H24" s="38" t="s">
        <v>126</v>
      </c>
      <c r="I24" s="38" t="s">
        <v>126</v>
      </c>
      <c r="J24" s="4">
        <v>90</v>
      </c>
      <c r="K24" s="4">
        <v>0</v>
      </c>
      <c r="L24" s="4">
        <v>0</v>
      </c>
      <c r="M24" s="4">
        <v>0</v>
      </c>
      <c r="N24" s="10">
        <f t="shared" si="0"/>
        <v>22.5</v>
      </c>
    </row>
    <row r="25" spans="2:14" x14ac:dyDescent="0.25">
      <c r="B25" s="6">
        <f t="shared" si="1"/>
        <v>17</v>
      </c>
      <c r="C25" s="6" t="s">
        <v>231</v>
      </c>
      <c r="D25" s="38" t="s">
        <v>127</v>
      </c>
      <c r="E25" s="38" t="s">
        <v>127</v>
      </c>
      <c r="F25" s="38" t="s">
        <v>127</v>
      </c>
      <c r="G25" s="38" t="s">
        <v>127</v>
      </c>
      <c r="H25" s="38" t="s">
        <v>127</v>
      </c>
      <c r="I25" s="38" t="s">
        <v>127</v>
      </c>
      <c r="J25" s="4">
        <v>80</v>
      </c>
      <c r="K25" s="4">
        <v>0</v>
      </c>
      <c r="L25" s="4">
        <v>0</v>
      </c>
      <c r="M25" s="4">
        <v>0</v>
      </c>
      <c r="N25" s="10">
        <f t="shared" si="0"/>
        <v>20</v>
      </c>
    </row>
    <row r="26" spans="2:14" x14ac:dyDescent="0.25">
      <c r="B26" s="6">
        <f t="shared" si="1"/>
        <v>18</v>
      </c>
      <c r="C26" s="6" t="s">
        <v>232</v>
      </c>
      <c r="D26" s="38" t="s">
        <v>128</v>
      </c>
      <c r="E26" s="38" t="s">
        <v>128</v>
      </c>
      <c r="F26" s="38" t="s">
        <v>128</v>
      </c>
      <c r="G26" s="38" t="s">
        <v>128</v>
      </c>
      <c r="H26" s="38" t="s">
        <v>128</v>
      </c>
      <c r="I26" s="38" t="s">
        <v>128</v>
      </c>
      <c r="J26" s="4">
        <v>90</v>
      </c>
      <c r="K26" s="4">
        <v>70</v>
      </c>
      <c r="L26" s="4">
        <v>0</v>
      </c>
      <c r="M26" s="4">
        <v>0</v>
      </c>
      <c r="N26" s="10">
        <f t="shared" si="0"/>
        <v>40</v>
      </c>
    </row>
    <row r="27" spans="2:14" x14ac:dyDescent="0.25">
      <c r="B27" s="6">
        <f t="shared" si="1"/>
        <v>19</v>
      </c>
      <c r="C27" s="6" t="s">
        <v>242</v>
      </c>
      <c r="D27" s="38" t="s">
        <v>129</v>
      </c>
      <c r="E27" s="38" t="s">
        <v>129</v>
      </c>
      <c r="F27" s="38" t="s">
        <v>129</v>
      </c>
      <c r="G27" s="38" t="s">
        <v>129</v>
      </c>
      <c r="H27" s="38" t="s">
        <v>129</v>
      </c>
      <c r="I27" s="38" t="s">
        <v>129</v>
      </c>
      <c r="J27" s="4">
        <v>70</v>
      </c>
      <c r="K27" s="4">
        <v>0</v>
      </c>
      <c r="L27" s="4">
        <v>0</v>
      </c>
      <c r="M27" s="4">
        <v>0</v>
      </c>
      <c r="N27" s="10">
        <f t="shared" si="0"/>
        <v>17.5</v>
      </c>
    </row>
    <row r="28" spans="2:14" x14ac:dyDescent="0.25">
      <c r="B28" s="6">
        <f t="shared" si="1"/>
        <v>20</v>
      </c>
      <c r="C28" s="6" t="s">
        <v>235</v>
      </c>
      <c r="D28" s="38" t="s">
        <v>131</v>
      </c>
      <c r="E28" s="38" t="s">
        <v>131</v>
      </c>
      <c r="F28" s="38" t="s">
        <v>131</v>
      </c>
      <c r="G28" s="38" t="s">
        <v>131</v>
      </c>
      <c r="H28" s="38" t="s">
        <v>131</v>
      </c>
      <c r="I28" s="38" t="s">
        <v>131</v>
      </c>
      <c r="J28" s="4">
        <v>85</v>
      </c>
      <c r="K28" s="4">
        <v>0</v>
      </c>
      <c r="L28" s="4">
        <v>0</v>
      </c>
      <c r="M28" s="4">
        <v>0</v>
      </c>
      <c r="N28" s="10">
        <f t="shared" si="0"/>
        <v>21.25</v>
      </c>
    </row>
    <row r="29" spans="2:14" x14ac:dyDescent="0.25">
      <c r="B29" s="6">
        <f t="shared" si="1"/>
        <v>21</v>
      </c>
      <c r="C29" s="6" t="s">
        <v>236</v>
      </c>
      <c r="D29" s="38" t="s">
        <v>132</v>
      </c>
      <c r="E29" s="38" t="s">
        <v>132</v>
      </c>
      <c r="F29" s="38" t="s">
        <v>132</v>
      </c>
      <c r="G29" s="38" t="s">
        <v>132</v>
      </c>
      <c r="H29" s="38" t="s">
        <v>132</v>
      </c>
      <c r="I29" s="38" t="s">
        <v>132</v>
      </c>
      <c r="J29" s="4">
        <v>80</v>
      </c>
      <c r="K29" s="4">
        <v>0</v>
      </c>
      <c r="L29" s="4">
        <v>0</v>
      </c>
      <c r="M29" s="4">
        <v>0</v>
      </c>
      <c r="N29" s="10">
        <f t="shared" si="0"/>
        <v>20</v>
      </c>
    </row>
    <row r="30" spans="2:14" x14ac:dyDescent="0.2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10">
        <f t="shared" si="0"/>
        <v>0</v>
      </c>
    </row>
    <row r="31" spans="2:14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10">
        <f t="shared" ref="N31:N54" si="2">SUM(J31:M31)/7</f>
        <v>0</v>
      </c>
    </row>
    <row r="32" spans="2:14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10">
        <f t="shared" si="2"/>
        <v>0</v>
      </c>
    </row>
    <row r="33" spans="2:14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10">
        <f t="shared" si="2"/>
        <v>0</v>
      </c>
    </row>
    <row r="34" spans="2:14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10">
        <f t="shared" si="2"/>
        <v>0</v>
      </c>
    </row>
    <row r="35" spans="2:14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10">
        <f t="shared" si="2"/>
        <v>0</v>
      </c>
    </row>
    <row r="36" spans="2:14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10">
        <f t="shared" si="2"/>
        <v>0</v>
      </c>
    </row>
    <row r="37" spans="2:14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10">
        <f t="shared" si="2"/>
        <v>0</v>
      </c>
    </row>
    <row r="38" spans="2:14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10">
        <f t="shared" si="2"/>
        <v>0</v>
      </c>
    </row>
    <row r="39" spans="2:14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10">
        <f t="shared" si="2"/>
        <v>0</v>
      </c>
    </row>
    <row r="40" spans="2:14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10">
        <f t="shared" si="2"/>
        <v>0</v>
      </c>
    </row>
    <row r="41" spans="2:14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10">
        <f t="shared" si="2"/>
        <v>0</v>
      </c>
    </row>
    <row r="42" spans="2:14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10">
        <f t="shared" si="2"/>
        <v>0</v>
      </c>
    </row>
    <row r="43" spans="2:14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10">
        <f t="shared" si="2"/>
        <v>0</v>
      </c>
    </row>
    <row r="44" spans="2:14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10">
        <f t="shared" si="2"/>
        <v>0</v>
      </c>
    </row>
    <row r="45" spans="2:14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10">
        <f t="shared" si="2"/>
        <v>0</v>
      </c>
    </row>
    <row r="46" spans="2:14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10">
        <f t="shared" si="2"/>
        <v>0</v>
      </c>
    </row>
    <row r="47" spans="2:14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10">
        <f t="shared" si="2"/>
        <v>0</v>
      </c>
    </row>
    <row r="48" spans="2:14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10">
        <f t="shared" si="2"/>
        <v>0</v>
      </c>
    </row>
    <row r="49" spans="2:14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10">
        <f t="shared" si="2"/>
        <v>0</v>
      </c>
    </row>
    <row r="50" spans="2:14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10">
        <f t="shared" si="2"/>
        <v>0</v>
      </c>
    </row>
    <row r="51" spans="2:14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10">
        <f t="shared" si="2"/>
        <v>0</v>
      </c>
    </row>
    <row r="52" spans="2:14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10">
        <f t="shared" si="2"/>
        <v>0</v>
      </c>
    </row>
    <row r="53" spans="2:14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10">
        <f t="shared" si="2"/>
        <v>0</v>
      </c>
    </row>
    <row r="54" spans="2:14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3"/>
      <c r="K54" s="3"/>
      <c r="L54" s="3"/>
      <c r="M54" s="3"/>
      <c r="N54" s="10">
        <f t="shared" si="2"/>
        <v>0</v>
      </c>
    </row>
    <row r="55" spans="2:14" x14ac:dyDescent="0.25">
      <c r="C55" s="27"/>
      <c r="D55" s="27"/>
      <c r="E55" s="1"/>
      <c r="H55" s="30" t="s">
        <v>19</v>
      </c>
      <c r="I55" s="30"/>
      <c r="J55" s="11">
        <f>COUNTIF(J9:J54,"&gt;=70")</f>
        <v>21</v>
      </c>
      <c r="K55" s="11">
        <f>COUNTIF(K9:K54,"&gt;=70")</f>
        <v>1</v>
      </c>
      <c r="L55" s="11">
        <f>COUNTIF(L9:L54,"&gt;=70")</f>
        <v>3</v>
      </c>
      <c r="M55" s="11">
        <f>COUNTIF(M9:M54,"&gt;=70")</f>
        <v>0</v>
      </c>
      <c r="N55" s="15">
        <f>COUNTIF(N9:N49,"&gt;=70")</f>
        <v>0</v>
      </c>
    </row>
    <row r="56" spans="2:14" x14ac:dyDescent="0.25">
      <c r="C56" s="27"/>
      <c r="D56" s="27"/>
      <c r="E56" s="8"/>
      <c r="H56" s="31" t="s">
        <v>20</v>
      </c>
      <c r="I56" s="31"/>
      <c r="J56" s="12">
        <f>COUNTIF(J9:J54,"&lt;70")</f>
        <v>0</v>
      </c>
      <c r="K56" s="12">
        <f>COUNTIF(K9:K54,"&lt;70")</f>
        <v>20</v>
      </c>
      <c r="L56" s="12">
        <f>COUNTIF(L9:L54,"&lt;70")</f>
        <v>18</v>
      </c>
      <c r="M56" s="12">
        <f>COUNTIF(M9:M54,"&lt;70")</f>
        <v>21</v>
      </c>
      <c r="N56" s="12">
        <f>COUNTIF(N9:N54,"&lt;70")</f>
        <v>46</v>
      </c>
    </row>
    <row r="57" spans="2:14" x14ac:dyDescent="0.25">
      <c r="C57" s="27"/>
      <c r="D57" s="27"/>
      <c r="E57" s="27"/>
      <c r="H57" s="31" t="s">
        <v>21</v>
      </c>
      <c r="I57" s="31"/>
      <c r="J57" s="12">
        <f>COUNT(J9:J54)</f>
        <v>21</v>
      </c>
      <c r="K57" s="12">
        <f>COUNT(K9:K54)</f>
        <v>21</v>
      </c>
      <c r="L57" s="12">
        <f>COUNT(L9:L54)</f>
        <v>21</v>
      </c>
      <c r="M57" s="12">
        <f>COUNT(M9:M54)</f>
        <v>21</v>
      </c>
      <c r="N57" s="12">
        <f>COUNT(N9:N54)</f>
        <v>46</v>
      </c>
    </row>
    <row r="58" spans="2:14" x14ac:dyDescent="0.25">
      <c r="C58" s="27"/>
      <c r="D58" s="27"/>
      <c r="E58" s="1"/>
      <c r="H58" s="32" t="s">
        <v>16</v>
      </c>
      <c r="I58" s="32"/>
      <c r="J58" s="13">
        <f>J55/J57</f>
        <v>1</v>
      </c>
      <c r="K58" s="14">
        <f t="shared" ref="K58:N58" si="3">K55/K57</f>
        <v>4.7619047619047616E-2</v>
      </c>
      <c r="L58" s="14">
        <f t="shared" si="3"/>
        <v>0.14285714285714285</v>
      </c>
      <c r="M58" s="14">
        <f t="shared" si="3"/>
        <v>0</v>
      </c>
      <c r="N58" s="14">
        <f t="shared" si="3"/>
        <v>0</v>
      </c>
    </row>
    <row r="59" spans="2:14" x14ac:dyDescent="0.25">
      <c r="C59" s="27"/>
      <c r="D59" s="27"/>
      <c r="E59" s="1"/>
      <c r="H59" s="32" t="s">
        <v>17</v>
      </c>
      <c r="I59" s="32"/>
      <c r="J59" s="13">
        <f>J56/J57</f>
        <v>0</v>
      </c>
      <c r="K59" s="13">
        <f t="shared" ref="K59:N59" si="4">K56/K57</f>
        <v>0.95238095238095233</v>
      </c>
      <c r="L59" s="14">
        <f t="shared" si="4"/>
        <v>0.8571428571428571</v>
      </c>
      <c r="M59" s="14">
        <f t="shared" si="4"/>
        <v>1</v>
      </c>
      <c r="N59" s="14">
        <f t="shared" si="4"/>
        <v>1</v>
      </c>
    </row>
    <row r="60" spans="2:14" x14ac:dyDescent="0.25">
      <c r="C60" s="27"/>
      <c r="D60" s="27"/>
      <c r="E60" s="8"/>
    </row>
    <row r="61" spans="2:14" x14ac:dyDescent="0.25">
      <c r="C61" s="1"/>
      <c r="D61" s="1"/>
      <c r="E61" s="8"/>
    </row>
    <row r="62" spans="2:14" x14ac:dyDescent="0.25">
      <c r="J62" s="33"/>
      <c r="K62" s="33"/>
      <c r="L62" s="33"/>
      <c r="M62" s="33"/>
    </row>
    <row r="63" spans="2:14" x14ac:dyDescent="0.25">
      <c r="J63" s="26" t="s">
        <v>18</v>
      </c>
      <c r="K63" s="26"/>
      <c r="L63" s="26"/>
      <c r="M63" s="26"/>
    </row>
  </sheetData>
  <mergeCells count="67">
    <mergeCell ref="C59:D59"/>
    <mergeCell ref="H59:I59"/>
    <mergeCell ref="C60:D60"/>
    <mergeCell ref="J62:M62"/>
    <mergeCell ref="J63:M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7:I27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26:I26"/>
    <mergeCell ref="D19:H19"/>
    <mergeCell ref="D14:I14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1"/>
  <sheetViews>
    <sheetView topLeftCell="A40" zoomScaleNormal="100" workbookViewId="0">
      <selection activeCell="M26" sqref="M26:M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</row>
    <row r="3" spans="2:17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</row>
    <row r="4" spans="2:17" x14ac:dyDescent="0.25">
      <c r="C4" t="s">
        <v>0</v>
      </c>
      <c r="D4" s="34" t="s">
        <v>24</v>
      </c>
      <c r="E4" s="34"/>
      <c r="F4" s="34"/>
      <c r="G4" s="34"/>
      <c r="I4" t="s">
        <v>1</v>
      </c>
      <c r="J4" s="36" t="s">
        <v>25</v>
      </c>
      <c r="K4" s="36"/>
      <c r="M4" t="s">
        <v>2</v>
      </c>
      <c r="N4" s="35">
        <v>45096</v>
      </c>
      <c r="O4" s="35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28"/>
      <c r="O6" s="2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9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158</v>
      </c>
      <c r="D9" s="44" t="s">
        <v>27</v>
      </c>
      <c r="E9" s="45" t="s">
        <v>27</v>
      </c>
      <c r="F9" s="45" t="s">
        <v>27</v>
      </c>
      <c r="G9" s="45" t="s">
        <v>27</v>
      </c>
      <c r="H9" s="45" t="s">
        <v>27</v>
      </c>
      <c r="I9" s="46" t="s">
        <v>27</v>
      </c>
      <c r="J9" s="4">
        <f>27+28+20</f>
        <v>75</v>
      </c>
      <c r="K9" s="4">
        <f>28+30+25</f>
        <v>83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26.333333333333332</v>
      </c>
    </row>
    <row r="10" spans="2:17" x14ac:dyDescent="0.25">
      <c r="B10" s="6">
        <f>B9+1</f>
        <v>2</v>
      </c>
      <c r="C10" s="6" t="s">
        <v>139</v>
      </c>
      <c r="D10" s="44" t="s">
        <v>28</v>
      </c>
      <c r="E10" s="45" t="s">
        <v>28</v>
      </c>
      <c r="F10" s="45" t="s">
        <v>28</v>
      </c>
      <c r="G10" s="45" t="s">
        <v>28</v>
      </c>
      <c r="H10" s="45" t="s">
        <v>28</v>
      </c>
      <c r="I10" s="46" t="s">
        <v>28</v>
      </c>
      <c r="J10" s="4">
        <f>29+33+30</f>
        <v>92</v>
      </c>
      <c r="K10" s="4">
        <f>35+60</f>
        <v>95</v>
      </c>
      <c r="L10" s="4">
        <f>35+37+18</f>
        <v>90</v>
      </c>
      <c r="M10" s="4">
        <v>93</v>
      </c>
      <c r="N10" s="4">
        <v>0</v>
      </c>
      <c r="O10" s="4">
        <v>0</v>
      </c>
      <c r="P10" s="10">
        <f t="shared" ref="P10:P25" si="0">SUM(J10:O10)/6</f>
        <v>61.666666666666664</v>
      </c>
    </row>
    <row r="11" spans="2:17" x14ac:dyDescent="0.25">
      <c r="B11" s="6">
        <f t="shared" ref="B11:B52" si="1">B10+1</f>
        <v>3</v>
      </c>
      <c r="C11" s="6" t="s">
        <v>163</v>
      </c>
      <c r="D11" s="44" t="s">
        <v>29</v>
      </c>
      <c r="E11" s="45" t="s">
        <v>29</v>
      </c>
      <c r="F11" s="45" t="s">
        <v>29</v>
      </c>
      <c r="G11" s="45" t="s">
        <v>29</v>
      </c>
      <c r="H11" s="45" t="s">
        <v>29</v>
      </c>
      <c r="I11" s="46" t="s">
        <v>29</v>
      </c>
      <c r="J11" s="4">
        <f>16+30+30</f>
        <v>76</v>
      </c>
      <c r="K11" s="4">
        <f>33+30+26</f>
        <v>89</v>
      </c>
      <c r="L11" s="4">
        <f>35+38+15</f>
        <v>88</v>
      </c>
      <c r="M11" s="4">
        <v>90</v>
      </c>
      <c r="N11" s="4">
        <v>0</v>
      </c>
      <c r="O11" s="4">
        <v>0</v>
      </c>
      <c r="P11" s="10">
        <f t="shared" si="0"/>
        <v>57.166666666666664</v>
      </c>
    </row>
    <row r="12" spans="2:17" x14ac:dyDescent="0.25">
      <c r="B12" s="6">
        <f t="shared" si="1"/>
        <v>4</v>
      </c>
      <c r="C12" s="6" t="s">
        <v>141</v>
      </c>
      <c r="D12" s="44" t="s">
        <v>257</v>
      </c>
      <c r="E12" s="45" t="s">
        <v>30</v>
      </c>
      <c r="F12" s="45" t="s">
        <v>30</v>
      </c>
      <c r="G12" s="45" t="s">
        <v>30</v>
      </c>
      <c r="H12" s="45" t="s">
        <v>30</v>
      </c>
      <c r="I12" s="46" t="s">
        <v>30</v>
      </c>
      <c r="J12" s="4">
        <f>27+28+30</f>
        <v>85</v>
      </c>
      <c r="K12" s="4">
        <f>28+30+25</f>
        <v>83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28</v>
      </c>
    </row>
    <row r="13" spans="2:17" x14ac:dyDescent="0.25">
      <c r="B13" s="6">
        <f t="shared" si="1"/>
        <v>5</v>
      </c>
      <c r="C13" s="6" t="s">
        <v>164</v>
      </c>
      <c r="D13" s="44" t="s">
        <v>258</v>
      </c>
      <c r="E13" s="45" t="s">
        <v>31</v>
      </c>
      <c r="F13" s="45" t="s">
        <v>31</v>
      </c>
      <c r="G13" s="45" t="s">
        <v>31</v>
      </c>
      <c r="H13" s="45" t="s">
        <v>31</v>
      </c>
      <c r="I13" s="46" t="s">
        <v>31</v>
      </c>
      <c r="J13" s="4">
        <f>27+30+28</f>
        <v>85</v>
      </c>
      <c r="K13" s="4">
        <f>35+30+30</f>
        <v>95</v>
      </c>
      <c r="L13" s="4">
        <f>37+19+39</f>
        <v>95</v>
      </c>
      <c r="M13" s="4">
        <v>93</v>
      </c>
      <c r="N13" s="4">
        <v>0</v>
      </c>
      <c r="O13" s="4">
        <v>0</v>
      </c>
      <c r="P13" s="10">
        <f t="shared" si="0"/>
        <v>61.333333333333336</v>
      </c>
    </row>
    <row r="14" spans="2:17" x14ac:dyDescent="0.25">
      <c r="B14" s="6">
        <f t="shared" si="1"/>
        <v>6</v>
      </c>
      <c r="C14" s="6" t="s">
        <v>150</v>
      </c>
      <c r="D14" s="19" t="s">
        <v>259</v>
      </c>
      <c r="E14" s="20"/>
      <c r="F14" s="20"/>
      <c r="G14" s="20"/>
      <c r="H14" s="20"/>
      <c r="I14" s="21"/>
      <c r="J14" s="4">
        <v>0</v>
      </c>
      <c r="K14" s="4">
        <f>34+60</f>
        <v>94</v>
      </c>
      <c r="L14" s="4">
        <v>0</v>
      </c>
      <c r="M14" s="4">
        <v>0</v>
      </c>
      <c r="N14" s="4">
        <v>0</v>
      </c>
      <c r="O14" s="4">
        <v>0</v>
      </c>
      <c r="P14" s="10"/>
    </row>
    <row r="15" spans="2:17" x14ac:dyDescent="0.25">
      <c r="B15" s="6">
        <f t="shared" si="1"/>
        <v>7</v>
      </c>
      <c r="C15" s="6" t="s">
        <v>165</v>
      </c>
      <c r="D15" s="44" t="s">
        <v>32</v>
      </c>
      <c r="E15" s="45" t="s">
        <v>32</v>
      </c>
      <c r="F15" s="45" t="s">
        <v>32</v>
      </c>
      <c r="G15" s="45" t="s">
        <v>32</v>
      </c>
      <c r="H15" s="45" t="s">
        <v>32</v>
      </c>
      <c r="I15" s="46" t="s">
        <v>32</v>
      </c>
      <c r="J15" s="4">
        <f>25+30+30</f>
        <v>85</v>
      </c>
      <c r="K15" s="4">
        <f>30+30+28</f>
        <v>88</v>
      </c>
      <c r="L15" s="4">
        <f>39+35+15</f>
        <v>89</v>
      </c>
      <c r="M15" s="4">
        <v>81</v>
      </c>
      <c r="N15" s="4">
        <v>0</v>
      </c>
      <c r="O15" s="4">
        <v>0</v>
      </c>
      <c r="P15" s="10">
        <f t="shared" si="0"/>
        <v>57.166666666666664</v>
      </c>
    </row>
    <row r="16" spans="2:17" x14ac:dyDescent="0.25">
      <c r="B16" s="6">
        <f t="shared" si="1"/>
        <v>8</v>
      </c>
      <c r="C16" s="6" t="s">
        <v>159</v>
      </c>
      <c r="D16" s="44" t="s">
        <v>33</v>
      </c>
      <c r="E16" s="45" t="s">
        <v>33</v>
      </c>
      <c r="F16" s="45" t="s">
        <v>33</v>
      </c>
      <c r="G16" s="45" t="s">
        <v>33</v>
      </c>
      <c r="H16" s="45" t="s">
        <v>33</v>
      </c>
      <c r="I16" s="46" t="s">
        <v>33</v>
      </c>
      <c r="J16" s="4">
        <f>25+30+29</f>
        <v>84</v>
      </c>
      <c r="K16" s="4">
        <f>29+34+30</f>
        <v>93</v>
      </c>
      <c r="L16" s="4">
        <f>37+19+38</f>
        <v>94</v>
      </c>
      <c r="M16" s="4">
        <v>86</v>
      </c>
      <c r="N16" s="4">
        <v>0</v>
      </c>
      <c r="O16" s="4">
        <v>0</v>
      </c>
      <c r="P16" s="10">
        <f t="shared" si="0"/>
        <v>59.5</v>
      </c>
    </row>
    <row r="17" spans="2:16" x14ac:dyDescent="0.25">
      <c r="B17" s="6">
        <f t="shared" si="1"/>
        <v>9</v>
      </c>
      <c r="C17" s="6" t="s">
        <v>142</v>
      </c>
      <c r="D17" s="44" t="s">
        <v>34</v>
      </c>
      <c r="E17" s="45" t="s">
        <v>34</v>
      </c>
      <c r="F17" s="45" t="s">
        <v>34</v>
      </c>
      <c r="G17" s="45" t="s">
        <v>34</v>
      </c>
      <c r="H17" s="45" t="s">
        <v>34</v>
      </c>
      <c r="I17" s="46" t="s">
        <v>34</v>
      </c>
      <c r="J17" s="4">
        <f>40+30+30</f>
        <v>100</v>
      </c>
      <c r="K17" s="4">
        <f>35+30+30</f>
        <v>95</v>
      </c>
      <c r="L17" s="4">
        <f>38+20+37</f>
        <v>95</v>
      </c>
      <c r="M17" s="4">
        <v>93</v>
      </c>
      <c r="N17" s="4">
        <v>0</v>
      </c>
      <c r="O17" s="4">
        <v>0</v>
      </c>
      <c r="P17" s="10">
        <f t="shared" si="0"/>
        <v>63.833333333333336</v>
      </c>
    </row>
    <row r="18" spans="2:16" x14ac:dyDescent="0.25">
      <c r="B18" s="6">
        <f t="shared" si="1"/>
        <v>10</v>
      </c>
      <c r="C18" s="6" t="s">
        <v>143</v>
      </c>
      <c r="D18" s="44" t="s">
        <v>35</v>
      </c>
      <c r="E18" s="45" t="s">
        <v>35</v>
      </c>
      <c r="F18" s="45" t="s">
        <v>35</v>
      </c>
      <c r="G18" s="45" t="s">
        <v>35</v>
      </c>
      <c r="H18" s="45" t="s">
        <v>35</v>
      </c>
      <c r="I18" s="46" t="s">
        <v>35</v>
      </c>
      <c r="J18" s="4">
        <f>40+30+28</f>
        <v>98</v>
      </c>
      <c r="K18" s="4">
        <f>35+30+28</f>
        <v>93</v>
      </c>
      <c r="L18" s="4">
        <f>40+20+40</f>
        <v>100</v>
      </c>
      <c r="M18" s="4">
        <v>94</v>
      </c>
      <c r="N18" s="4">
        <v>0</v>
      </c>
      <c r="O18" s="4">
        <v>0</v>
      </c>
      <c r="P18" s="10">
        <f t="shared" si="0"/>
        <v>64.166666666666671</v>
      </c>
    </row>
    <row r="19" spans="2:16" x14ac:dyDescent="0.25">
      <c r="B19" s="6">
        <f t="shared" si="1"/>
        <v>11</v>
      </c>
      <c r="C19" s="6" t="s">
        <v>144</v>
      </c>
      <c r="D19" s="44" t="s">
        <v>36</v>
      </c>
      <c r="E19" s="45" t="s">
        <v>36</v>
      </c>
      <c r="F19" s="45" t="s">
        <v>36</v>
      </c>
      <c r="G19" s="45" t="s">
        <v>36</v>
      </c>
      <c r="H19" s="45" t="s">
        <v>36</v>
      </c>
      <c r="I19" s="46" t="s">
        <v>36</v>
      </c>
      <c r="J19" s="4">
        <f>40+30+30</f>
        <v>100</v>
      </c>
      <c r="K19" s="4">
        <f>37+30+30</f>
        <v>97</v>
      </c>
      <c r="L19" s="4">
        <f>40+17+37</f>
        <v>94</v>
      </c>
      <c r="M19" s="4">
        <v>100</v>
      </c>
      <c r="N19" s="4">
        <v>0</v>
      </c>
      <c r="O19" s="4">
        <v>0</v>
      </c>
      <c r="P19" s="10">
        <f t="shared" si="0"/>
        <v>65.166666666666671</v>
      </c>
    </row>
    <row r="20" spans="2:16" x14ac:dyDescent="0.25">
      <c r="B20" s="6">
        <f t="shared" si="1"/>
        <v>12</v>
      </c>
      <c r="C20" s="6" t="s">
        <v>160</v>
      </c>
      <c r="D20" s="44" t="s">
        <v>37</v>
      </c>
      <c r="E20" s="45" t="s">
        <v>37</v>
      </c>
      <c r="F20" s="45" t="s">
        <v>37</v>
      </c>
      <c r="G20" s="45" t="s">
        <v>37</v>
      </c>
      <c r="H20" s="45" t="s">
        <v>37</v>
      </c>
      <c r="I20" s="46" t="s">
        <v>37</v>
      </c>
      <c r="J20" s="4">
        <f>33+28+30</f>
        <v>91</v>
      </c>
      <c r="K20" s="4">
        <f>32+30+30</f>
        <v>92</v>
      </c>
      <c r="L20" s="4">
        <f>40+38+15</f>
        <v>93</v>
      </c>
      <c r="M20" s="4">
        <v>92</v>
      </c>
      <c r="N20" s="4">
        <v>0</v>
      </c>
      <c r="O20" s="4">
        <v>0</v>
      </c>
      <c r="P20" s="10">
        <f t="shared" si="0"/>
        <v>61.333333333333336</v>
      </c>
    </row>
    <row r="21" spans="2:16" x14ac:dyDescent="0.25">
      <c r="B21" s="6">
        <f t="shared" si="1"/>
        <v>13</v>
      </c>
      <c r="C21" s="6" t="s">
        <v>145</v>
      </c>
      <c r="D21" s="44" t="s">
        <v>38</v>
      </c>
      <c r="E21" s="45" t="s">
        <v>38</v>
      </c>
      <c r="F21" s="45" t="s">
        <v>38</v>
      </c>
      <c r="G21" s="45" t="s">
        <v>38</v>
      </c>
      <c r="H21" s="45" t="s">
        <v>38</v>
      </c>
      <c r="I21" s="46" t="s">
        <v>38</v>
      </c>
      <c r="J21" s="4">
        <v>0</v>
      </c>
      <c r="K21" s="4">
        <f>34+30+30</f>
        <v>94</v>
      </c>
      <c r="L21" s="4">
        <f>34+15+40</f>
        <v>89</v>
      </c>
      <c r="M21" s="4">
        <v>85</v>
      </c>
      <c r="N21" s="4">
        <v>0</v>
      </c>
      <c r="O21" s="4">
        <v>0</v>
      </c>
      <c r="P21" s="10">
        <f t="shared" si="0"/>
        <v>44.666666666666664</v>
      </c>
    </row>
    <row r="22" spans="2:16" x14ac:dyDescent="0.25">
      <c r="B22" s="6">
        <f t="shared" si="1"/>
        <v>14</v>
      </c>
      <c r="C22" s="6" t="s">
        <v>146</v>
      </c>
      <c r="D22" s="44" t="s">
        <v>39</v>
      </c>
      <c r="E22" s="45" t="s">
        <v>39</v>
      </c>
      <c r="F22" s="45" t="s">
        <v>39</v>
      </c>
      <c r="G22" s="45" t="s">
        <v>39</v>
      </c>
      <c r="H22" s="45" t="s">
        <v>39</v>
      </c>
      <c r="I22" s="46" t="s">
        <v>39</v>
      </c>
      <c r="J22" s="4">
        <f>40+30+28</f>
        <v>98</v>
      </c>
      <c r="K22" s="4">
        <f>28+30+36</f>
        <v>94</v>
      </c>
      <c r="L22" s="4">
        <v>98</v>
      </c>
      <c r="M22" s="4">
        <v>100</v>
      </c>
      <c r="N22" s="4">
        <v>0</v>
      </c>
      <c r="O22" s="4">
        <v>0</v>
      </c>
      <c r="P22" s="10">
        <f t="shared" si="0"/>
        <v>65</v>
      </c>
    </row>
    <row r="23" spans="2:16" x14ac:dyDescent="0.25">
      <c r="B23" s="6">
        <f t="shared" si="1"/>
        <v>15</v>
      </c>
      <c r="C23" s="6" t="s">
        <v>161</v>
      </c>
      <c r="D23" s="44" t="s">
        <v>42</v>
      </c>
      <c r="E23" s="45" t="s">
        <v>42</v>
      </c>
      <c r="F23" s="45" t="s">
        <v>42</v>
      </c>
      <c r="G23" s="45" t="s">
        <v>42</v>
      </c>
      <c r="H23" s="45" t="s">
        <v>42</v>
      </c>
      <c r="I23" s="46" t="s">
        <v>42</v>
      </c>
      <c r="J23" s="4">
        <f>33+28+30</f>
        <v>91</v>
      </c>
      <c r="K23" s="4">
        <f>28+30+34</f>
        <v>92</v>
      </c>
      <c r="L23" s="4">
        <v>93</v>
      </c>
      <c r="M23" s="4">
        <v>95</v>
      </c>
      <c r="N23" s="4">
        <v>0</v>
      </c>
      <c r="O23" s="4">
        <v>0</v>
      </c>
      <c r="P23" s="10">
        <f t="shared" si="0"/>
        <v>61.833333333333336</v>
      </c>
    </row>
    <row r="24" spans="2:16" x14ac:dyDescent="0.25">
      <c r="B24" s="6">
        <f t="shared" si="1"/>
        <v>16</v>
      </c>
      <c r="C24" s="6" t="s">
        <v>148</v>
      </c>
      <c r="D24" s="44" t="s">
        <v>43</v>
      </c>
      <c r="E24" s="45" t="s">
        <v>43</v>
      </c>
      <c r="F24" s="45" t="s">
        <v>43</v>
      </c>
      <c r="G24" s="45" t="s">
        <v>43</v>
      </c>
      <c r="H24" s="45" t="s">
        <v>43</v>
      </c>
      <c r="I24" s="46" t="s">
        <v>43</v>
      </c>
      <c r="J24" s="4">
        <f>37+30+29</f>
        <v>96</v>
      </c>
      <c r="K24" s="4">
        <f>29+36+30</f>
        <v>95</v>
      </c>
      <c r="L24" s="4">
        <f>37+40+16</f>
        <v>93</v>
      </c>
      <c r="M24" s="4">
        <v>94</v>
      </c>
      <c r="N24" s="4">
        <v>0</v>
      </c>
      <c r="O24" s="4">
        <v>0</v>
      </c>
      <c r="P24" s="10">
        <f t="shared" si="0"/>
        <v>63</v>
      </c>
    </row>
    <row r="25" spans="2:16" x14ac:dyDescent="0.25">
      <c r="B25" s="6">
        <f t="shared" si="1"/>
        <v>17</v>
      </c>
      <c r="C25" s="6" t="s">
        <v>162</v>
      </c>
      <c r="D25" s="44" t="s">
        <v>44</v>
      </c>
      <c r="E25" s="45" t="s">
        <v>44</v>
      </c>
      <c r="F25" s="45" t="s">
        <v>44</v>
      </c>
      <c r="G25" s="45" t="s">
        <v>44</v>
      </c>
      <c r="H25" s="45" t="s">
        <v>44</v>
      </c>
      <c r="I25" s="46" t="s">
        <v>44</v>
      </c>
      <c r="J25" s="4">
        <f>15+29+29</f>
        <v>73</v>
      </c>
      <c r="K25" s="4">
        <f>34+29+28</f>
        <v>91</v>
      </c>
      <c r="L25" s="4">
        <v>90</v>
      </c>
      <c r="M25" s="4">
        <v>0</v>
      </c>
      <c r="N25" s="4">
        <v>0</v>
      </c>
      <c r="O25" s="4">
        <v>0</v>
      </c>
      <c r="P25" s="10">
        <f t="shared" si="0"/>
        <v>42.333333333333336</v>
      </c>
    </row>
    <row r="26" spans="2:16" x14ac:dyDescent="0.25">
      <c r="B26" s="6">
        <f t="shared" si="1"/>
        <v>18</v>
      </c>
      <c r="C26" s="6"/>
      <c r="J26" s="4"/>
      <c r="K26" s="4"/>
      <c r="L26" s="4"/>
      <c r="M26" s="4"/>
      <c r="N26" s="4"/>
      <c r="O26" s="4"/>
      <c r="P26" s="10">
        <f t="shared" ref="P26:P52" si="2">SUM(J26:O26)/7</f>
        <v>0</v>
      </c>
    </row>
    <row r="27" spans="2:16" x14ac:dyDescent="0.25">
      <c r="B27" s="6">
        <f t="shared" si="1"/>
        <v>19</v>
      </c>
      <c r="C27" s="6"/>
      <c r="D27" s="40"/>
      <c r="E27" s="40"/>
      <c r="F27" s="40"/>
      <c r="G27" s="40"/>
      <c r="H27" s="40"/>
      <c r="I27" s="40"/>
      <c r="J27" s="4"/>
      <c r="K27" s="4"/>
      <c r="L27" s="4"/>
      <c r="M27" s="4"/>
      <c r="N27" s="4"/>
      <c r="O27" s="4"/>
      <c r="P27" s="10">
        <f t="shared" si="2"/>
        <v>0</v>
      </c>
    </row>
    <row r="28" spans="2:16" x14ac:dyDescent="0.2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10">
        <f t="shared" si="2"/>
        <v>0</v>
      </c>
    </row>
    <row r="29" spans="2:16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10">
        <f t="shared" si="2"/>
        <v>0</v>
      </c>
    </row>
    <row r="30" spans="2:16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10">
        <f t="shared" si="2"/>
        <v>0</v>
      </c>
    </row>
    <row r="31" spans="2:16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10">
        <f t="shared" si="2"/>
        <v>0</v>
      </c>
    </row>
    <row r="32" spans="2:16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10">
        <f t="shared" si="2"/>
        <v>0</v>
      </c>
    </row>
    <row r="33" spans="2:16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10">
        <f t="shared" si="2"/>
        <v>0</v>
      </c>
    </row>
    <row r="34" spans="2:16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10">
        <f t="shared" si="2"/>
        <v>0</v>
      </c>
    </row>
    <row r="35" spans="2:16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10">
        <f t="shared" si="2"/>
        <v>0</v>
      </c>
    </row>
    <row r="36" spans="2:16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10">
        <f t="shared" si="2"/>
        <v>0</v>
      </c>
    </row>
    <row r="37" spans="2:16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10">
        <f t="shared" si="2"/>
        <v>0</v>
      </c>
    </row>
    <row r="38" spans="2:16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10">
        <f t="shared" si="2"/>
        <v>0</v>
      </c>
    </row>
    <row r="39" spans="2:16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10">
        <f t="shared" si="2"/>
        <v>0</v>
      </c>
    </row>
    <row r="40" spans="2:16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10">
        <f t="shared" si="2"/>
        <v>0</v>
      </c>
    </row>
    <row r="41" spans="2:16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10">
        <f t="shared" si="2"/>
        <v>0</v>
      </c>
    </row>
    <row r="43" spans="2:16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10">
        <f t="shared" si="2"/>
        <v>0</v>
      </c>
    </row>
    <row r="44" spans="2:16" x14ac:dyDescent="0.25">
      <c r="B44" s="6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10">
        <f t="shared" si="2"/>
        <v>0</v>
      </c>
    </row>
    <row r="45" spans="2:16" x14ac:dyDescent="0.2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3"/>
      <c r="P52" s="10">
        <f t="shared" si="2"/>
        <v>0</v>
      </c>
    </row>
    <row r="53" spans="2:16" x14ac:dyDescent="0.25">
      <c r="C53" s="27"/>
      <c r="D53" s="27"/>
      <c r="E53" s="1"/>
      <c r="H53" s="30" t="s">
        <v>19</v>
      </c>
      <c r="I53" s="30"/>
      <c r="J53" s="11">
        <f t="shared" ref="J53:O53" si="3">COUNTIF(J9:J52,"&gt;=70")</f>
        <v>15</v>
      </c>
      <c r="K53" s="11">
        <f t="shared" si="3"/>
        <v>17</v>
      </c>
      <c r="L53" s="11">
        <f t="shared" si="3"/>
        <v>14</v>
      </c>
      <c r="M53" s="11">
        <f t="shared" si="3"/>
        <v>13</v>
      </c>
      <c r="N53" s="11">
        <f t="shared" si="3"/>
        <v>0</v>
      </c>
      <c r="O53" s="11">
        <f t="shared" si="3"/>
        <v>0</v>
      </c>
      <c r="P53" s="15">
        <f>COUNTIF(P9:P47,"&gt;=70")</f>
        <v>0</v>
      </c>
    </row>
    <row r="54" spans="2:16" x14ac:dyDescent="0.25">
      <c r="C54" s="27"/>
      <c r="D54" s="27"/>
      <c r="E54" s="8"/>
      <c r="H54" s="31" t="s">
        <v>20</v>
      </c>
      <c r="I54" s="31"/>
      <c r="J54" s="12">
        <f t="shared" ref="J54:P54" si="4">COUNTIF(J9:J52,"&lt;70")</f>
        <v>2</v>
      </c>
      <c r="K54" s="12">
        <f t="shared" si="4"/>
        <v>0</v>
      </c>
      <c r="L54" s="12">
        <f t="shared" si="4"/>
        <v>3</v>
      </c>
      <c r="M54" s="12">
        <f t="shared" si="4"/>
        <v>4</v>
      </c>
      <c r="N54" s="12">
        <f t="shared" si="4"/>
        <v>17</v>
      </c>
      <c r="O54" s="12">
        <f t="shared" si="4"/>
        <v>17</v>
      </c>
      <c r="P54" s="12">
        <f t="shared" si="4"/>
        <v>43</v>
      </c>
    </row>
    <row r="55" spans="2:16" x14ac:dyDescent="0.25">
      <c r="C55" s="27"/>
      <c r="D55" s="27"/>
      <c r="E55" s="27"/>
      <c r="H55" s="31" t="s">
        <v>21</v>
      </c>
      <c r="I55" s="31"/>
      <c r="J55" s="12">
        <f t="shared" ref="J55:P55" si="5">COUNT(J9:J52)</f>
        <v>17</v>
      </c>
      <c r="K55" s="12">
        <f t="shared" si="5"/>
        <v>17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43</v>
      </c>
    </row>
    <row r="56" spans="2:16" x14ac:dyDescent="0.25">
      <c r="C56" s="27"/>
      <c r="D56" s="27"/>
      <c r="E56" s="1"/>
      <c r="H56" s="32" t="s">
        <v>16</v>
      </c>
      <c r="I56" s="32"/>
      <c r="J56" s="13">
        <f>J53/J55</f>
        <v>0.88235294117647056</v>
      </c>
      <c r="K56" s="14">
        <f t="shared" ref="K56:P56" si="6">K53/K55</f>
        <v>1</v>
      </c>
      <c r="L56" s="14">
        <f t="shared" si="6"/>
        <v>0.82352941176470584</v>
      </c>
      <c r="M56" s="14">
        <f t="shared" si="6"/>
        <v>0.76470588235294112</v>
      </c>
      <c r="N56" s="14">
        <f t="shared" si="6"/>
        <v>0</v>
      </c>
      <c r="O56" s="14">
        <f t="shared" si="6"/>
        <v>0</v>
      </c>
      <c r="P56" s="14">
        <f t="shared" si="6"/>
        <v>0</v>
      </c>
    </row>
    <row r="57" spans="2:16" x14ac:dyDescent="0.25">
      <c r="C57" s="27"/>
      <c r="D57" s="27"/>
      <c r="E57" s="1"/>
      <c r="H57" s="32" t="s">
        <v>17</v>
      </c>
      <c r="I57" s="32"/>
      <c r="J57" s="13">
        <f>J54/J55</f>
        <v>0.11764705882352941</v>
      </c>
      <c r="K57" s="13">
        <f t="shared" ref="K57:P57" si="7">K54/K55</f>
        <v>0</v>
      </c>
      <c r="L57" s="14">
        <f t="shared" si="7"/>
        <v>0.17647058823529413</v>
      </c>
      <c r="M57" s="14">
        <f t="shared" si="7"/>
        <v>0.23529411764705882</v>
      </c>
      <c r="N57" s="14">
        <f t="shared" si="7"/>
        <v>1</v>
      </c>
      <c r="O57" s="14">
        <f t="shared" si="7"/>
        <v>1</v>
      </c>
      <c r="P57" s="14">
        <f t="shared" si="7"/>
        <v>1</v>
      </c>
    </row>
    <row r="58" spans="2:16" x14ac:dyDescent="0.25">
      <c r="C58" s="27"/>
      <c r="D58" s="27"/>
      <c r="E58" s="8"/>
    </row>
    <row r="59" spans="2:16" x14ac:dyDescent="0.25">
      <c r="C59" s="1"/>
      <c r="D59" s="1"/>
      <c r="E59" s="8"/>
    </row>
    <row r="60" spans="2:16" x14ac:dyDescent="0.25">
      <c r="J60" s="33"/>
      <c r="K60" s="33"/>
      <c r="L60" s="33"/>
      <c r="M60" s="33"/>
      <c r="N60" s="33"/>
      <c r="O60" s="33"/>
    </row>
    <row r="61" spans="2:16" x14ac:dyDescent="0.25">
      <c r="J61" s="26" t="s">
        <v>18</v>
      </c>
      <c r="K61" s="26"/>
      <c r="L61" s="26"/>
      <c r="M61" s="26"/>
      <c r="N61" s="26"/>
      <c r="O61" s="26"/>
    </row>
  </sheetData>
  <mergeCells count="64">
    <mergeCell ref="C57:D57"/>
    <mergeCell ref="H57:I57"/>
    <mergeCell ref="C58:D58"/>
    <mergeCell ref="J60:O60"/>
    <mergeCell ref="J61:O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5:I15"/>
    <mergeCell ref="D16:I16"/>
    <mergeCell ref="D17:I17"/>
    <mergeCell ref="D10:I10"/>
    <mergeCell ref="D11:I11"/>
    <mergeCell ref="D18:I18"/>
    <mergeCell ref="D19:I19"/>
    <mergeCell ref="D20:I20"/>
    <mergeCell ref="D12:I12"/>
    <mergeCell ref="D23:I23"/>
    <mergeCell ref="D13:I13"/>
    <mergeCell ref="D21:I21"/>
    <mergeCell ref="D22:I22"/>
    <mergeCell ref="D6:G6"/>
    <mergeCell ref="I6:J6"/>
    <mergeCell ref="K6:O6"/>
    <mergeCell ref="D8:I8"/>
    <mergeCell ref="D9:I9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61"/>
  <sheetViews>
    <sheetView tabSelected="1" zoomScaleNormal="100" workbookViewId="0">
      <selection activeCell="M28" sqref="M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10.7109375" customWidth="1"/>
    <col min="16" max="17" width="5.7109375" customWidth="1"/>
  </cols>
  <sheetData>
    <row r="2" spans="2:16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6"/>
      <c r="O2" s="2"/>
      <c r="P2" s="2"/>
    </row>
    <row r="3" spans="2:16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1"/>
      <c r="P3" s="1"/>
    </row>
    <row r="4" spans="2:16" x14ac:dyDescent="0.25">
      <c r="C4" t="s">
        <v>0</v>
      </c>
      <c r="D4" s="34" t="s">
        <v>193</v>
      </c>
      <c r="E4" s="34"/>
      <c r="F4" s="34"/>
      <c r="G4" s="34"/>
      <c r="I4" t="s">
        <v>1</v>
      </c>
      <c r="J4" s="36" t="s">
        <v>25</v>
      </c>
      <c r="K4" s="36"/>
      <c r="M4" t="s">
        <v>2</v>
      </c>
      <c r="O4" s="17">
        <v>45096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6" t="s">
        <v>244</v>
      </c>
      <c r="E6" s="36"/>
      <c r="F6" s="36"/>
      <c r="G6" s="36"/>
      <c r="I6" s="27" t="s">
        <v>22</v>
      </c>
      <c r="J6" s="27"/>
      <c r="K6" s="28" t="s">
        <v>26</v>
      </c>
      <c r="L6" s="28"/>
      <c r="M6" s="28"/>
      <c r="N6" s="1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25">
      <c r="B9" s="6">
        <v>1</v>
      </c>
      <c r="C9" s="6" t="s">
        <v>139</v>
      </c>
      <c r="D9" s="44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6" t="s">
        <v>28</v>
      </c>
      <c r="J9" s="4">
        <v>85</v>
      </c>
      <c r="K9" s="4">
        <f>28+20+37</f>
        <v>85</v>
      </c>
      <c r="L9" s="4">
        <f>35+35+20</f>
        <v>90</v>
      </c>
      <c r="M9" s="4">
        <v>85</v>
      </c>
      <c r="N9" s="4">
        <v>0</v>
      </c>
      <c r="O9" s="10">
        <f>SUM(J9:N9)/4</f>
        <v>86.25</v>
      </c>
    </row>
    <row r="10" spans="2:16" x14ac:dyDescent="0.25">
      <c r="B10" s="6">
        <f t="shared" ref="B10:B52" si="0">B9+1</f>
        <v>2</v>
      </c>
      <c r="C10" s="6" t="s">
        <v>140</v>
      </c>
      <c r="D10" s="44" t="s">
        <v>54</v>
      </c>
      <c r="E10" s="45" t="s">
        <v>45</v>
      </c>
      <c r="F10" s="45" t="s">
        <v>45</v>
      </c>
      <c r="G10" s="45" t="s">
        <v>45</v>
      </c>
      <c r="H10" s="45" t="s">
        <v>45</v>
      </c>
      <c r="I10" s="46" t="s">
        <v>45</v>
      </c>
      <c r="J10" s="4">
        <v>0</v>
      </c>
      <c r="K10" s="4">
        <f>30+20+25</f>
        <v>75</v>
      </c>
      <c r="L10" s="4">
        <v>0</v>
      </c>
      <c r="M10" s="22">
        <v>0</v>
      </c>
      <c r="N10" s="4">
        <v>0</v>
      </c>
      <c r="O10" s="10">
        <f t="shared" ref="O10:O28" si="1">SUM(J10:N10)/4</f>
        <v>18.75</v>
      </c>
    </row>
    <row r="11" spans="2:16" x14ac:dyDescent="0.25">
      <c r="B11" s="6">
        <f t="shared" si="0"/>
        <v>3</v>
      </c>
      <c r="C11" s="6" t="s">
        <v>141</v>
      </c>
      <c r="D11" s="44" t="s">
        <v>30</v>
      </c>
      <c r="E11" s="45" t="s">
        <v>30</v>
      </c>
      <c r="F11" s="45" t="s">
        <v>30</v>
      </c>
      <c r="G11" s="45" t="s">
        <v>30</v>
      </c>
      <c r="H11" s="45" t="s">
        <v>30</v>
      </c>
      <c r="I11" s="46" t="s">
        <v>30</v>
      </c>
      <c r="J11" s="4">
        <v>80</v>
      </c>
      <c r="K11" s="4">
        <f>20+35+34</f>
        <v>89</v>
      </c>
      <c r="L11" s="4">
        <v>88</v>
      </c>
      <c r="M11" s="4">
        <v>80</v>
      </c>
      <c r="N11" s="4">
        <v>0</v>
      </c>
      <c r="O11" s="10">
        <f t="shared" si="1"/>
        <v>84.25</v>
      </c>
    </row>
    <row r="12" spans="2:16" x14ac:dyDescent="0.25">
      <c r="B12" s="6">
        <f t="shared" si="0"/>
        <v>4</v>
      </c>
      <c r="C12" s="6" t="s">
        <v>150</v>
      </c>
      <c r="D12" s="44" t="s">
        <v>31</v>
      </c>
      <c r="E12" s="45" t="s">
        <v>31</v>
      </c>
      <c r="F12" s="45" t="s">
        <v>31</v>
      </c>
      <c r="G12" s="45" t="s">
        <v>31</v>
      </c>
      <c r="H12" s="45" t="s">
        <v>31</v>
      </c>
      <c r="I12" s="46" t="s">
        <v>31</v>
      </c>
      <c r="J12" s="4">
        <v>85</v>
      </c>
      <c r="K12" s="4">
        <f>20+34+33</f>
        <v>87</v>
      </c>
      <c r="L12" s="4">
        <f>32+35+20</f>
        <v>87</v>
      </c>
      <c r="M12" s="22">
        <v>0</v>
      </c>
      <c r="N12" s="4">
        <v>0</v>
      </c>
      <c r="O12" s="10">
        <f t="shared" si="1"/>
        <v>64.75</v>
      </c>
    </row>
    <row r="13" spans="2:16" x14ac:dyDescent="0.25">
      <c r="B13" s="6">
        <f t="shared" si="0"/>
        <v>5</v>
      </c>
      <c r="C13" s="6" t="s">
        <v>159</v>
      </c>
      <c r="D13" s="44" t="s">
        <v>33</v>
      </c>
      <c r="E13" s="45" t="s">
        <v>33</v>
      </c>
      <c r="F13" s="45" t="s">
        <v>33</v>
      </c>
      <c r="G13" s="45" t="s">
        <v>33</v>
      </c>
      <c r="H13" s="45" t="s">
        <v>33</v>
      </c>
      <c r="I13" s="46" t="s">
        <v>33</v>
      </c>
      <c r="J13" s="4">
        <v>80</v>
      </c>
      <c r="K13" s="4">
        <f>36+20+30</f>
        <v>86</v>
      </c>
      <c r="L13" s="4">
        <v>88</v>
      </c>
      <c r="M13" s="4">
        <v>83</v>
      </c>
      <c r="N13" s="4">
        <v>0</v>
      </c>
      <c r="O13" s="10">
        <f t="shared" si="1"/>
        <v>84.25</v>
      </c>
    </row>
    <row r="14" spans="2:16" x14ac:dyDescent="0.25">
      <c r="B14" s="6">
        <f t="shared" si="0"/>
        <v>6</v>
      </c>
      <c r="C14" s="6" t="s">
        <v>142</v>
      </c>
      <c r="D14" s="44" t="s">
        <v>34</v>
      </c>
      <c r="E14" s="45" t="s">
        <v>34</v>
      </c>
      <c r="F14" s="45" t="s">
        <v>34</v>
      </c>
      <c r="G14" s="45" t="s">
        <v>34</v>
      </c>
      <c r="H14" s="45" t="s">
        <v>34</v>
      </c>
      <c r="I14" s="46" t="s">
        <v>34</v>
      </c>
      <c r="J14" s="4">
        <v>86</v>
      </c>
      <c r="K14" s="4">
        <f>20+35+36</f>
        <v>91</v>
      </c>
      <c r="L14" s="4">
        <v>90</v>
      </c>
      <c r="M14" s="4">
        <v>85</v>
      </c>
      <c r="N14" s="4">
        <v>0</v>
      </c>
      <c r="O14" s="10">
        <f t="shared" si="1"/>
        <v>88</v>
      </c>
    </row>
    <row r="15" spans="2:16" x14ac:dyDescent="0.25">
      <c r="B15" s="6">
        <f t="shared" si="0"/>
        <v>7</v>
      </c>
      <c r="C15" s="6" t="s">
        <v>143</v>
      </c>
      <c r="D15" s="44" t="s">
        <v>35</v>
      </c>
      <c r="E15" s="45" t="s">
        <v>35</v>
      </c>
      <c r="F15" s="45" t="s">
        <v>35</v>
      </c>
      <c r="G15" s="45" t="s">
        <v>35</v>
      </c>
      <c r="H15" s="45" t="s">
        <v>35</v>
      </c>
      <c r="I15" s="46" t="s">
        <v>35</v>
      </c>
      <c r="J15" s="4">
        <v>83</v>
      </c>
      <c r="K15" s="4">
        <f>20+33+34</f>
        <v>87</v>
      </c>
      <c r="L15" s="4">
        <v>89</v>
      </c>
      <c r="M15" s="4">
        <v>84</v>
      </c>
      <c r="N15" s="4">
        <v>0</v>
      </c>
      <c r="O15" s="10">
        <f t="shared" si="1"/>
        <v>85.75</v>
      </c>
    </row>
    <row r="16" spans="2:16" x14ac:dyDescent="0.25">
      <c r="B16" s="6">
        <f t="shared" si="0"/>
        <v>8</v>
      </c>
      <c r="C16" s="6" t="s">
        <v>247</v>
      </c>
      <c r="D16" s="44" t="s">
        <v>246</v>
      </c>
      <c r="E16" s="45"/>
      <c r="F16" s="45"/>
      <c r="G16" s="45"/>
      <c r="H16" s="45"/>
      <c r="I16" s="46"/>
      <c r="J16" s="4">
        <v>87</v>
      </c>
      <c r="K16" s="4">
        <f>20+35+26</f>
        <v>81</v>
      </c>
      <c r="L16" s="4">
        <f>35+30+20</f>
        <v>85</v>
      </c>
      <c r="M16" s="4">
        <v>83</v>
      </c>
      <c r="N16" s="4">
        <v>0</v>
      </c>
      <c r="O16" s="10">
        <f t="shared" si="1"/>
        <v>84</v>
      </c>
    </row>
    <row r="17" spans="2:15" x14ac:dyDescent="0.25">
      <c r="B17" s="6">
        <f t="shared" si="0"/>
        <v>9</v>
      </c>
      <c r="C17" s="6" t="s">
        <v>144</v>
      </c>
      <c r="D17" s="44" t="s">
        <v>36</v>
      </c>
      <c r="E17" s="45" t="s">
        <v>36</v>
      </c>
      <c r="F17" s="45" t="s">
        <v>36</v>
      </c>
      <c r="G17" s="45" t="s">
        <v>36</v>
      </c>
      <c r="H17" s="45" t="s">
        <v>36</v>
      </c>
      <c r="I17" s="46" t="s">
        <v>36</v>
      </c>
      <c r="J17" s="4">
        <v>89</v>
      </c>
      <c r="K17" s="4">
        <f>37+20+35</f>
        <v>92</v>
      </c>
      <c r="L17" s="4">
        <v>91</v>
      </c>
      <c r="M17" s="4">
        <v>86</v>
      </c>
      <c r="N17" s="4">
        <v>0</v>
      </c>
      <c r="O17" s="10">
        <f t="shared" si="1"/>
        <v>89.5</v>
      </c>
    </row>
    <row r="18" spans="2:15" x14ac:dyDescent="0.25">
      <c r="B18" s="6">
        <f t="shared" si="0"/>
        <v>10</v>
      </c>
      <c r="C18" s="6" t="s">
        <v>160</v>
      </c>
      <c r="D18" s="44" t="s">
        <v>37</v>
      </c>
      <c r="E18" s="45" t="s">
        <v>37</v>
      </c>
      <c r="F18" s="45" t="s">
        <v>37</v>
      </c>
      <c r="G18" s="45" t="s">
        <v>37</v>
      </c>
      <c r="H18" s="45" t="s">
        <v>37</v>
      </c>
      <c r="I18" s="46" t="s">
        <v>37</v>
      </c>
      <c r="J18" s="4">
        <v>82</v>
      </c>
      <c r="K18" s="4">
        <f>32+20+30</f>
        <v>82</v>
      </c>
      <c r="L18" s="4">
        <v>89</v>
      </c>
      <c r="M18" s="4">
        <v>82</v>
      </c>
      <c r="N18" s="4">
        <v>0</v>
      </c>
      <c r="O18" s="10">
        <f t="shared" si="1"/>
        <v>83.75</v>
      </c>
    </row>
    <row r="19" spans="2:15" x14ac:dyDescent="0.25">
      <c r="B19" s="6">
        <f t="shared" si="0"/>
        <v>11</v>
      </c>
      <c r="C19" s="6" t="s">
        <v>145</v>
      </c>
      <c r="D19" s="44" t="s">
        <v>38</v>
      </c>
      <c r="E19" s="45" t="s">
        <v>38</v>
      </c>
      <c r="F19" s="45" t="s">
        <v>38</v>
      </c>
      <c r="G19" s="45" t="s">
        <v>38</v>
      </c>
      <c r="H19" s="45" t="s">
        <v>38</v>
      </c>
      <c r="I19" s="46" t="s">
        <v>38</v>
      </c>
      <c r="J19" s="4">
        <v>80</v>
      </c>
      <c r="K19" s="4">
        <f>28+20+35</f>
        <v>83</v>
      </c>
      <c r="L19" s="4">
        <v>87</v>
      </c>
      <c r="M19" s="4">
        <v>84</v>
      </c>
      <c r="N19" s="4">
        <v>0</v>
      </c>
      <c r="O19" s="10">
        <f t="shared" si="1"/>
        <v>83.5</v>
      </c>
    </row>
    <row r="20" spans="2:15" x14ac:dyDescent="0.25">
      <c r="B20" s="6">
        <f t="shared" si="0"/>
        <v>12</v>
      </c>
      <c r="C20" s="6" t="s">
        <v>146</v>
      </c>
      <c r="D20" s="44" t="s">
        <v>39</v>
      </c>
      <c r="E20" s="45" t="s">
        <v>39</v>
      </c>
      <c r="F20" s="45" t="s">
        <v>39</v>
      </c>
      <c r="G20" s="45" t="s">
        <v>39</v>
      </c>
      <c r="H20" s="45" t="s">
        <v>39</v>
      </c>
      <c r="I20" s="46" t="s">
        <v>39</v>
      </c>
      <c r="J20" s="4">
        <v>87</v>
      </c>
      <c r="K20" s="4">
        <f>34+20+33</f>
        <v>87</v>
      </c>
      <c r="L20" s="4">
        <v>90</v>
      </c>
      <c r="M20" s="4">
        <v>86</v>
      </c>
      <c r="N20" s="4">
        <v>0</v>
      </c>
      <c r="O20" s="10">
        <f t="shared" si="1"/>
        <v>87.5</v>
      </c>
    </row>
    <row r="21" spans="2:15" x14ac:dyDescent="0.25">
      <c r="B21" s="6">
        <f t="shared" si="0"/>
        <v>13</v>
      </c>
      <c r="C21" s="6" t="s">
        <v>147</v>
      </c>
      <c r="D21" s="44" t="s">
        <v>40</v>
      </c>
      <c r="E21" s="45" t="s">
        <v>40</v>
      </c>
      <c r="F21" s="45" t="s">
        <v>40</v>
      </c>
      <c r="G21" s="45" t="s">
        <v>40</v>
      </c>
      <c r="H21" s="45" t="s">
        <v>40</v>
      </c>
      <c r="I21" s="46" t="s">
        <v>40</v>
      </c>
      <c r="J21" s="4">
        <v>86</v>
      </c>
      <c r="K21" s="4">
        <f>37+20+35</f>
        <v>92</v>
      </c>
      <c r="L21" s="4">
        <v>94</v>
      </c>
      <c r="M21" s="4">
        <v>88</v>
      </c>
      <c r="N21" s="4">
        <v>0</v>
      </c>
      <c r="O21" s="10">
        <f t="shared" si="1"/>
        <v>90</v>
      </c>
    </row>
    <row r="22" spans="2:15" x14ac:dyDescent="0.25">
      <c r="B22" s="6">
        <f t="shared" si="0"/>
        <v>14</v>
      </c>
      <c r="C22" s="6" t="s">
        <v>148</v>
      </c>
      <c r="D22" s="44" t="s">
        <v>135</v>
      </c>
      <c r="E22" s="45"/>
      <c r="F22" s="45"/>
      <c r="G22" s="45"/>
      <c r="H22" s="45"/>
      <c r="I22" s="46"/>
      <c r="J22" s="4">
        <v>80</v>
      </c>
      <c r="K22" s="4">
        <f>29+20+35</f>
        <v>84</v>
      </c>
      <c r="L22" s="4">
        <v>88</v>
      </c>
      <c r="M22" s="4">
        <v>83</v>
      </c>
      <c r="N22" s="4">
        <v>0</v>
      </c>
      <c r="O22" s="10">
        <f t="shared" si="1"/>
        <v>83.75</v>
      </c>
    </row>
    <row r="23" spans="2:15" x14ac:dyDescent="0.25">
      <c r="B23" s="6">
        <f t="shared" si="0"/>
        <v>15</v>
      </c>
      <c r="C23" s="6" t="s">
        <v>149</v>
      </c>
      <c r="D23" s="44" t="s">
        <v>41</v>
      </c>
      <c r="E23" s="45" t="s">
        <v>41</v>
      </c>
      <c r="F23" s="45" t="s">
        <v>41</v>
      </c>
      <c r="G23" s="45" t="s">
        <v>41</v>
      </c>
      <c r="H23" s="45" t="s">
        <v>41</v>
      </c>
      <c r="I23" s="46" t="s">
        <v>41</v>
      </c>
      <c r="J23" s="4">
        <v>83</v>
      </c>
      <c r="K23" s="4">
        <f>20+35+30</f>
        <v>85</v>
      </c>
      <c r="L23" s="4">
        <v>92</v>
      </c>
      <c r="M23" s="4">
        <v>87</v>
      </c>
      <c r="N23" s="4">
        <v>0</v>
      </c>
      <c r="O23" s="10">
        <f t="shared" si="1"/>
        <v>86.75</v>
      </c>
    </row>
    <row r="24" spans="2:15" x14ac:dyDescent="0.25">
      <c r="B24" s="6">
        <f t="shared" si="0"/>
        <v>16</v>
      </c>
      <c r="C24" s="6" t="s">
        <v>161</v>
      </c>
      <c r="D24" s="44" t="s">
        <v>42</v>
      </c>
      <c r="E24" s="45" t="s">
        <v>42</v>
      </c>
      <c r="F24" s="45" t="s">
        <v>42</v>
      </c>
      <c r="G24" s="45" t="s">
        <v>42</v>
      </c>
      <c r="H24" s="45" t="s">
        <v>42</v>
      </c>
      <c r="I24" s="46" t="s">
        <v>42</v>
      </c>
      <c r="J24" s="4">
        <v>85</v>
      </c>
      <c r="K24" s="4">
        <f>32+20+30</f>
        <v>82</v>
      </c>
      <c r="L24" s="4">
        <v>90</v>
      </c>
      <c r="M24" s="4">
        <v>85</v>
      </c>
      <c r="N24" s="4">
        <v>0</v>
      </c>
      <c r="O24" s="10">
        <f t="shared" si="1"/>
        <v>85.5</v>
      </c>
    </row>
    <row r="25" spans="2:15" x14ac:dyDescent="0.25">
      <c r="B25" s="6">
        <f t="shared" si="0"/>
        <v>17</v>
      </c>
      <c r="C25" s="6" t="s">
        <v>148</v>
      </c>
      <c r="D25" s="44" t="s">
        <v>43</v>
      </c>
      <c r="E25" s="45" t="s">
        <v>43</v>
      </c>
      <c r="F25" s="45" t="s">
        <v>43</v>
      </c>
      <c r="G25" s="45" t="s">
        <v>43</v>
      </c>
      <c r="H25" s="45" t="s">
        <v>43</v>
      </c>
      <c r="I25" s="46" t="s">
        <v>43</v>
      </c>
      <c r="J25" s="4">
        <v>86</v>
      </c>
      <c r="K25" s="4">
        <f>20+36+30</f>
        <v>86</v>
      </c>
      <c r="L25" s="4">
        <v>94</v>
      </c>
      <c r="M25" s="4">
        <v>86</v>
      </c>
      <c r="N25" s="4">
        <v>0</v>
      </c>
      <c r="O25" s="10">
        <f t="shared" si="1"/>
        <v>88</v>
      </c>
    </row>
    <row r="26" spans="2:15" x14ac:dyDescent="0.25">
      <c r="B26" s="6">
        <f t="shared" si="0"/>
        <v>18</v>
      </c>
      <c r="C26" s="6" t="s">
        <v>162</v>
      </c>
      <c r="D26" s="44" t="s">
        <v>138</v>
      </c>
      <c r="E26" s="45" t="s">
        <v>44</v>
      </c>
      <c r="F26" s="45" t="s">
        <v>44</v>
      </c>
      <c r="G26" s="45" t="s">
        <v>44</v>
      </c>
      <c r="H26" s="45" t="s">
        <v>44</v>
      </c>
      <c r="I26" s="46" t="s">
        <v>44</v>
      </c>
      <c r="J26" s="4">
        <v>85</v>
      </c>
      <c r="K26" s="4">
        <v>92</v>
      </c>
      <c r="L26" s="4">
        <v>95</v>
      </c>
      <c r="M26" s="22">
        <v>0</v>
      </c>
      <c r="N26" s="4">
        <v>0</v>
      </c>
      <c r="O26" s="10">
        <f t="shared" si="1"/>
        <v>68</v>
      </c>
    </row>
    <row r="27" spans="2:15" x14ac:dyDescent="0.25">
      <c r="B27" s="6">
        <f t="shared" si="0"/>
        <v>19</v>
      </c>
      <c r="C27" s="6" t="s">
        <v>156</v>
      </c>
      <c r="D27" s="44" t="s">
        <v>44</v>
      </c>
      <c r="E27" s="45"/>
      <c r="F27" s="45"/>
      <c r="G27" s="45"/>
      <c r="H27" s="45"/>
      <c r="I27" s="46"/>
      <c r="J27" s="4">
        <v>80</v>
      </c>
      <c r="K27" s="4">
        <v>79</v>
      </c>
      <c r="L27" s="4">
        <v>88</v>
      </c>
      <c r="M27" s="22">
        <v>0</v>
      </c>
      <c r="N27" s="4">
        <v>0</v>
      </c>
      <c r="O27" s="10">
        <f t="shared" si="1"/>
        <v>61.75</v>
      </c>
    </row>
    <row r="28" spans="2:15" x14ac:dyDescent="0.25">
      <c r="B28" s="6">
        <f t="shared" si="0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10">
        <f t="shared" si="1"/>
        <v>0</v>
      </c>
    </row>
    <row r="29" spans="2:15" x14ac:dyDescent="0.25">
      <c r="B29" s="6">
        <f t="shared" si="0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10">
        <f t="shared" ref="O29:O52" si="2">SUM(J29:M29)/7</f>
        <v>0</v>
      </c>
    </row>
    <row r="30" spans="2:15" x14ac:dyDescent="0.25">
      <c r="B30" s="6">
        <f t="shared" si="0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10">
        <f t="shared" si="2"/>
        <v>0</v>
      </c>
    </row>
    <row r="31" spans="2:15" x14ac:dyDescent="0.25">
      <c r="B31" s="6">
        <f t="shared" si="0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10">
        <f t="shared" si="2"/>
        <v>0</v>
      </c>
    </row>
    <row r="32" spans="2:15" x14ac:dyDescent="0.25">
      <c r="B32" s="6">
        <f t="shared" si="0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10">
        <f t="shared" si="2"/>
        <v>0</v>
      </c>
    </row>
    <row r="33" spans="2:15" x14ac:dyDescent="0.25">
      <c r="B33" s="6">
        <f t="shared" si="0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10">
        <f t="shared" si="2"/>
        <v>0</v>
      </c>
    </row>
    <row r="34" spans="2:15" x14ac:dyDescent="0.25">
      <c r="B34" s="6">
        <f t="shared" si="0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10">
        <f t="shared" si="2"/>
        <v>0</v>
      </c>
    </row>
    <row r="35" spans="2:15" x14ac:dyDescent="0.25">
      <c r="B35" s="6">
        <f t="shared" si="0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10">
        <f t="shared" si="2"/>
        <v>0</v>
      </c>
    </row>
    <row r="36" spans="2:15" x14ac:dyDescent="0.25">
      <c r="B36" s="6">
        <f t="shared" si="0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10">
        <f t="shared" si="2"/>
        <v>0</v>
      </c>
    </row>
    <row r="37" spans="2:15" x14ac:dyDescent="0.25">
      <c r="B37" s="6">
        <f t="shared" si="0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10">
        <f t="shared" si="2"/>
        <v>0</v>
      </c>
    </row>
    <row r="38" spans="2:15" x14ac:dyDescent="0.25">
      <c r="B38" s="6">
        <f t="shared" si="0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10">
        <f t="shared" si="2"/>
        <v>0</v>
      </c>
    </row>
    <row r="39" spans="2:15" x14ac:dyDescent="0.25">
      <c r="B39" s="6">
        <f t="shared" si="0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10">
        <f t="shared" si="2"/>
        <v>0</v>
      </c>
    </row>
    <row r="40" spans="2:15" x14ac:dyDescent="0.25">
      <c r="B40" s="6">
        <f t="shared" si="0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10">
        <f t="shared" si="2"/>
        <v>0</v>
      </c>
    </row>
    <row r="41" spans="2:15" x14ac:dyDescent="0.25">
      <c r="B41" s="6">
        <f t="shared" si="0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10">
        <f t="shared" si="2"/>
        <v>0</v>
      </c>
    </row>
    <row r="42" spans="2:15" x14ac:dyDescent="0.25">
      <c r="B42" s="6">
        <f t="shared" si="0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10">
        <f t="shared" si="2"/>
        <v>0</v>
      </c>
    </row>
    <row r="43" spans="2:15" x14ac:dyDescent="0.25">
      <c r="B43" s="6">
        <f t="shared" si="0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10">
        <f t="shared" si="2"/>
        <v>0</v>
      </c>
    </row>
    <row r="44" spans="2:15" x14ac:dyDescent="0.25">
      <c r="B44" s="6">
        <f t="shared" si="0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10">
        <f t="shared" si="2"/>
        <v>0</v>
      </c>
    </row>
    <row r="45" spans="2:15" x14ac:dyDescent="0.25">
      <c r="B45" s="6">
        <f t="shared" si="0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10">
        <f t="shared" si="2"/>
        <v>0</v>
      </c>
    </row>
    <row r="46" spans="2:15" x14ac:dyDescent="0.25">
      <c r="B46" s="6">
        <f t="shared" si="0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10">
        <f t="shared" si="2"/>
        <v>0</v>
      </c>
    </row>
    <row r="47" spans="2:15" x14ac:dyDescent="0.25">
      <c r="B47" s="6">
        <f t="shared" si="0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10">
        <f t="shared" si="2"/>
        <v>0</v>
      </c>
    </row>
    <row r="48" spans="2:15" x14ac:dyDescent="0.25">
      <c r="B48" s="6">
        <f t="shared" si="0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10">
        <f t="shared" si="2"/>
        <v>0</v>
      </c>
    </row>
    <row r="49" spans="2:15" x14ac:dyDescent="0.25">
      <c r="B49" s="6">
        <f t="shared" si="0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10">
        <f t="shared" si="2"/>
        <v>0</v>
      </c>
    </row>
    <row r="50" spans="2:15" x14ac:dyDescent="0.25">
      <c r="B50" s="6">
        <f t="shared" si="0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10">
        <f t="shared" si="2"/>
        <v>0</v>
      </c>
    </row>
    <row r="51" spans="2:15" x14ac:dyDescent="0.25">
      <c r="B51" s="6">
        <f t="shared" si="0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10">
        <f t="shared" si="2"/>
        <v>0</v>
      </c>
    </row>
    <row r="52" spans="2:15" x14ac:dyDescent="0.25">
      <c r="B52" s="6">
        <f t="shared" si="0"/>
        <v>44</v>
      </c>
      <c r="C52" s="3"/>
      <c r="D52" s="41"/>
      <c r="E52" s="42"/>
      <c r="F52" s="42"/>
      <c r="G52" s="42"/>
      <c r="H52" s="42"/>
      <c r="I52" s="43"/>
      <c r="J52" s="3"/>
      <c r="K52" s="3"/>
      <c r="L52" s="3"/>
      <c r="M52" s="3"/>
      <c r="N52" s="3"/>
      <c r="O52" s="10">
        <f t="shared" si="2"/>
        <v>0</v>
      </c>
    </row>
    <row r="53" spans="2:15" x14ac:dyDescent="0.25">
      <c r="C53" s="27"/>
      <c r="D53" s="27"/>
      <c r="E53" s="1"/>
      <c r="H53" s="30" t="s">
        <v>19</v>
      </c>
      <c r="I53" s="30"/>
      <c r="J53" s="11">
        <f>COUNTIF(J9:J52,"&gt;=70")</f>
        <v>18</v>
      </c>
      <c r="K53" s="11">
        <f>COUNTIF(K9:K52,"&gt;=70")</f>
        <v>19</v>
      </c>
      <c r="L53" s="11">
        <f>COUNTIF(L9:L52,"&gt;=70")</f>
        <v>18</v>
      </c>
      <c r="M53" s="11">
        <f>COUNTIF(M9:M52,"&gt;=70")</f>
        <v>15</v>
      </c>
      <c r="N53" s="11"/>
      <c r="O53" s="15">
        <f>COUNTIF(O9:O47,"&gt;=70")</f>
        <v>15</v>
      </c>
    </row>
    <row r="54" spans="2:15" x14ac:dyDescent="0.25">
      <c r="C54" s="27"/>
      <c r="D54" s="27"/>
      <c r="E54" s="8"/>
      <c r="H54" s="31" t="s">
        <v>20</v>
      </c>
      <c r="I54" s="31"/>
      <c r="J54" s="12">
        <f>COUNTIF(J9:J52,"&lt;70")</f>
        <v>1</v>
      </c>
      <c r="K54" s="12">
        <f>COUNTIF(K9:K52,"&lt;70")</f>
        <v>0</v>
      </c>
      <c r="L54" s="12">
        <f>COUNTIF(L9:L52,"&lt;70")</f>
        <v>1</v>
      </c>
      <c r="M54" s="12">
        <f>COUNTIF(M9:M52,"&lt;70")</f>
        <v>4</v>
      </c>
      <c r="N54" s="12"/>
      <c r="O54" s="12">
        <f>COUNTIF(O9:O52,"&lt;70")</f>
        <v>29</v>
      </c>
    </row>
    <row r="55" spans="2:15" x14ac:dyDescent="0.25">
      <c r="C55" s="27"/>
      <c r="D55" s="27"/>
      <c r="E55" s="27"/>
      <c r="H55" s="31" t="s">
        <v>21</v>
      </c>
      <c r="I55" s="31"/>
      <c r="J55" s="12">
        <f>COUNT(J9:J52)</f>
        <v>19</v>
      </c>
      <c r="K55" s="12">
        <f>COUNT(K9:K52)</f>
        <v>19</v>
      </c>
      <c r="L55" s="12">
        <f>COUNT(L9:L52)</f>
        <v>19</v>
      </c>
      <c r="M55" s="12">
        <f>COUNT(M9:M52)</f>
        <v>19</v>
      </c>
      <c r="N55" s="12"/>
      <c r="O55" s="12">
        <f>COUNT(O9:O52)</f>
        <v>44</v>
      </c>
    </row>
    <row r="56" spans="2:15" x14ac:dyDescent="0.25">
      <c r="C56" s="27"/>
      <c r="D56" s="27"/>
      <c r="E56" s="1"/>
      <c r="H56" s="32" t="s">
        <v>16</v>
      </c>
      <c r="I56" s="32"/>
      <c r="J56" s="13">
        <f>J53/J55</f>
        <v>0.94736842105263153</v>
      </c>
      <c r="K56" s="14">
        <f t="shared" ref="K56:O56" si="3">K53/K55</f>
        <v>1</v>
      </c>
      <c r="L56" s="14">
        <f t="shared" si="3"/>
        <v>0.94736842105263153</v>
      </c>
      <c r="M56" s="14">
        <f t="shared" si="3"/>
        <v>0.78947368421052633</v>
      </c>
      <c r="N56" s="14"/>
      <c r="O56" s="14">
        <f t="shared" si="3"/>
        <v>0.34090909090909088</v>
      </c>
    </row>
    <row r="57" spans="2:15" x14ac:dyDescent="0.25">
      <c r="C57" s="27"/>
      <c r="D57" s="27"/>
      <c r="E57" s="1"/>
      <c r="H57" s="32" t="s">
        <v>17</v>
      </c>
      <c r="I57" s="32"/>
      <c r="J57" s="13">
        <f>J54/J55</f>
        <v>5.2631578947368418E-2</v>
      </c>
      <c r="K57" s="13">
        <f t="shared" ref="K57:O57" si="4">K54/K55</f>
        <v>0</v>
      </c>
      <c r="L57" s="14">
        <f t="shared" si="4"/>
        <v>5.2631578947368418E-2</v>
      </c>
      <c r="M57" s="14">
        <f t="shared" si="4"/>
        <v>0.21052631578947367</v>
      </c>
      <c r="N57" s="14"/>
      <c r="O57" s="14">
        <f t="shared" si="4"/>
        <v>0.65909090909090906</v>
      </c>
    </row>
    <row r="58" spans="2:15" x14ac:dyDescent="0.25">
      <c r="C58" s="27"/>
      <c r="D58" s="27"/>
      <c r="E58" s="8"/>
    </row>
    <row r="59" spans="2:15" x14ac:dyDescent="0.25">
      <c r="C59" s="1"/>
      <c r="D59" s="1"/>
      <c r="E59" s="8"/>
    </row>
    <row r="60" spans="2:15" x14ac:dyDescent="0.25">
      <c r="J60" s="33"/>
      <c r="K60" s="33"/>
      <c r="L60" s="33"/>
      <c r="M60" s="33"/>
      <c r="N60" s="1"/>
    </row>
    <row r="61" spans="2:15" x14ac:dyDescent="0.25">
      <c r="J61" s="26" t="s">
        <v>18</v>
      </c>
      <c r="K61" s="26"/>
      <c r="L61" s="26"/>
      <c r="M61" s="26"/>
      <c r="N61" s="8"/>
    </row>
  </sheetData>
  <sortState xmlns:xlrd2="http://schemas.microsoft.com/office/spreadsheetml/2017/richdata2" ref="D9:O27">
    <sortCondition ref="D9:D26"/>
  </sortState>
  <mergeCells count="65"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M60"/>
    <mergeCell ref="J61:M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401-A</vt:lpstr>
      <vt:lpstr>801-B</vt:lpstr>
      <vt:lpstr>401-C</vt:lpstr>
      <vt:lpstr>Hoja1</vt:lpstr>
      <vt:lpstr>IO I</vt:lpstr>
      <vt:lpstr>801-A</vt:lpstr>
      <vt:lpstr>TOPICOS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2023-05-03T16:40:23Z</cp:lastPrinted>
  <dcterms:created xsi:type="dcterms:W3CDTF">2023-03-14T19:16:59Z</dcterms:created>
  <dcterms:modified xsi:type="dcterms:W3CDTF">2023-06-21T04:17:56Z</dcterms:modified>
</cp:coreProperties>
</file>